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 &amp; Assumptions" sheetId="1" state="visible" r:id="rId1"/>
    <sheet xmlns:r="http://schemas.openxmlformats.org/officeDocument/2006/relationships" name="CashFlow" sheetId="2" state="visible" r:id="rId2"/>
    <sheet xmlns:r="http://schemas.openxmlformats.org/officeDocument/2006/relationships" name="P&amp;L" sheetId="3" state="visible" r:id="rId3"/>
    <sheet xmlns:r="http://schemas.openxmlformats.org/officeDocument/2006/relationships" name="UnitMix" sheetId="4" state="visible" r:id="rId4"/>
    <sheet xmlns:r="http://schemas.openxmlformats.org/officeDocument/2006/relationships" name="Renovation" sheetId="5" state="visible" r:id="rId5"/>
    <sheet xmlns:r="http://schemas.openxmlformats.org/officeDocument/2006/relationships" name="Debt" sheetId="6" state="visible" r:id="rId6"/>
    <sheet xmlns:r="http://schemas.openxmlformats.org/officeDocument/2006/relationships" name="Investor Waterfall" sheetId="7" state="visible" r:id="rId7"/>
    <sheet xmlns:r="http://schemas.openxmlformats.org/officeDocument/2006/relationships" name="Rent Comps" sheetId="8" state="hidden" r:id="rId8"/>
    <sheet xmlns:r="http://schemas.openxmlformats.org/officeDocument/2006/relationships" name="Sale Comps" sheetId="9" state="visible" r:id="rId9"/>
    <sheet xmlns:r="http://schemas.openxmlformats.org/officeDocument/2006/relationships" name="OG T12" sheetId="10" state="visible" r:id="rId10"/>
    <sheet xmlns:r="http://schemas.openxmlformats.org/officeDocument/2006/relationships" name="Rent Roll" sheetId="11" state="visible" r:id="rId11"/>
    <sheet xmlns:r="http://schemas.openxmlformats.org/officeDocument/2006/relationships" name="WA REET Calculation" sheetId="12" state="hidden" r:id="rId12"/>
    <sheet xmlns:r="http://schemas.openxmlformats.org/officeDocument/2006/relationships" name="Summary" sheetId="13" state="hidden" r:id="rId13"/>
    <sheet xmlns:r="http://schemas.openxmlformats.org/officeDocument/2006/relationships" name="Preferences" sheetId="14" state="hidden" r:id="rId14"/>
    <sheet xmlns:r="http://schemas.openxmlformats.org/officeDocument/2006/relationships" name="State Tax Rates" sheetId="15" state="hidden" r:id="rId15"/>
    <sheet xmlns:r="http://schemas.openxmlformats.org/officeDocument/2006/relationships" name="Bridge" sheetId="16" state="hidden" r:id="rId16"/>
    <sheet xmlns:r="http://schemas.openxmlformats.org/officeDocument/2006/relationships" name="Lists" sheetId="17" state="hidden" r:id="rId17"/>
  </sheets>
  <definedNames>
    <definedName name="in_deal_name">'Summary &amp; Assumptions'!$C$6</definedName>
    <definedName name="in_deal_address">'Summary &amp; Assumptions'!$C$7</definedName>
    <definedName name="in_deal_city">'Summary &amp; Assumptions'!$C$8</definedName>
    <definedName name="in_deal_state">'Summary &amp; Assumptions'!$C$9</definedName>
    <definedName name="in_deal_zip">'Summary &amp; Assumptions'!$C$10</definedName>
    <definedName name="in_deal_units">'Summary &amp; Assumptions'!$C$11</definedName>
    <definedName name="in_deal_year_built">'Summary &amp; Assumptions'!$C$12</definedName>
    <definedName name="in_deal_year_renovated">'Summary &amp; Assumptions'!$C$13</definedName>
    <definedName name="in_deal_floors">'Summary &amp; Assumptions'!$C$14</definedName>
    <definedName name="in_deal_occupied_units">'Summary &amp; Assumptions'!$C$15</definedName>
    <definedName name="in_deal_rentable_sf">'Summary &amp; Assumptions'!$C$16</definedName>
    <definedName name="in_deal_purchase_price">'Summary &amp; Assumptions'!$H$6</definedName>
    <definedName name="out_deal_cap_in">'Summary &amp; Assumptions'!$H$7</definedName>
    <definedName name="in_acq_op_reserve_pct">'Summary &amp; Assumptions'!$H$8</definedName>
    <definedName name="out_acq_op_reserve_usd">'Summary &amp; Assumptions'!$I$8</definedName>
    <definedName name="in_acq_legal">'Summary &amp; Assumptions'!$H$9</definedName>
    <definedName name="in_acq_dd">'Summary &amp; Assumptions'!$H$10</definedName>
    <definedName name="in_acq_add1">'Summary &amp; Assumptions'!$H$11</definedName>
    <definedName name="in_acq_add2">'Summary &amp; Assumptions'!$T$9</definedName>
    <definedName name="in_acq_add3">'Summary &amp; Assumptions'!$T$10</definedName>
    <definedName name="out_acq_fee_usd">'Summary &amp; Assumptions'!$H$12</definedName>
    <definedName name="out_acq_total_costs">'Summary &amp; Assumptions'!$H$13</definedName>
    <definedName name="in_exit_basis">'Summary &amp; Assumptions'!$M$6</definedName>
    <definedName name="out_exit_noi_basis">'Summary &amp; Assumptions'!$M$7</definedName>
    <definedName name="in_exit_cap_rate">'Summary &amp; Assumptions'!$M$8</definedName>
    <definedName name="out_exit_price">'Summary &amp; Assumptions'!$N$8</definedName>
    <definedName name="in_exit_selling_pct">'Summary &amp; Assumptions'!$M$9</definedName>
    <definedName name="in_exit_transfer_pct">'Summary &amp; Assumptions'!$M$10</definedName>
    <definedName name="in_exit_broker_pct">'Summary &amp; Assumptions'!$M$11</definedName>
    <definedName name="in_deal_months_to_close">'Summary &amp; Assumptions'!$C$21</definedName>
    <definedName name="out_deal_start_date">'Summary &amp; Assumptions'!$C$22</definedName>
    <definedName name="in_deal_hold_years">'Summary &amp; Assumptions'!$C$23</definedName>
    <definedName name="out_deal_exit_date">'Summary &amp; Assumptions'!$C$24</definedName>
    <definedName name="in_ltl_capture_months">'Summary &amp; Assumptions'!$C$26</definedName>
    <definedName name="in_stabilization_months">'Summary &amp; Assumptions'!$C$27</definedName>
    <definedName name="out_unlev_emx">'Summary &amp; Assumptions'!$G$23</definedName>
    <definedName name="out_lev_emx">'Summary &amp; Assumptions'!$H$23</definedName>
    <definedName name="out_simple_return">'Summary &amp; Assumptions'!$H$24</definedName>
    <definedName name="out_avg_coc">'Summary &amp; Assumptions'!$H$25</definedName>
    <definedName name="in_debt_senior_include">'Summary &amp; Assumptions'!$C$31</definedName>
    <definedName name="in_debt_mezz_include">'Summary &amp; Assumptions'!$D$31</definedName>
    <definedName name="in_debt_refi_include">'Summary &amp; Assumptions'!$E$31</definedName>
    <definedName name="in_debt_c1_include">'Summary &amp; Assumptions'!$F$31</definedName>
    <definedName name="in_debt_c2_include">'Summary &amp; Assumptions'!$G$31</definedName>
    <definedName name="in_debt_c3_include">'Summary &amp; Assumptions'!$H$31</definedName>
    <definedName name="in_debt_senior_sizing">'Summary &amp; Assumptions'!$C$32</definedName>
    <definedName name="in_debt_mezz_sizing">'Summary &amp; Assumptions'!$D$32</definedName>
    <definedName name="in_debt_refi_sizing">'Summary &amp; Assumptions'!$E$32</definedName>
    <definedName name="in_debt_c1_sizing">'Summary &amp; Assumptions'!$F$32</definedName>
    <definedName name="in_debt_c2_sizing">'Summary &amp; Assumptions'!$G$32</definedName>
    <definedName name="in_debt_c3_sizing">'Summary &amp; Assumptions'!$H$32</definedName>
    <definedName name="in_debt_senior_amount">'Summary &amp; Assumptions'!$C$33</definedName>
    <definedName name="in_debt_mezz_amount">'Summary &amp; Assumptions'!$D$33</definedName>
    <definedName name="in_debt_refi_amount">'Summary &amp; Assumptions'!$E$33</definedName>
    <definedName name="in_debt_c1_amount">'Summary &amp; Assumptions'!$F$33</definedName>
    <definedName name="in_debt_c2_amount">'Summary &amp; Assumptions'!$G$33</definedName>
    <definedName name="in_debt_c3_amount">'Summary &amp; Assumptions'!$H$33</definedName>
    <definedName name="in_debt_senior_ltv">'Summary &amp; Assumptions'!$C$35</definedName>
    <definedName name="in_debt_mezz_ltv">'Summary &amp; Assumptions'!$D$35</definedName>
    <definedName name="in_debt_refi_ltv">'Summary &amp; Assumptions'!$E$35</definedName>
    <definedName name="in_debt_c1_ltv">'Summary &amp; Assumptions'!$F$35</definedName>
    <definedName name="in_debt_c2_ltv">'Summary &amp; Assumptions'!$G$35</definedName>
    <definedName name="in_debt_c3_ltv">'Summary &amp; Assumptions'!$H$35</definedName>
    <definedName name="in_debt_senior_dscr_min">'Summary &amp; Assumptions'!$C$36</definedName>
    <definedName name="in_debt_mezz_dscr_min">'Summary &amp; Assumptions'!$D$36</definedName>
    <definedName name="in_debt_refi_dscr_min">'Summary &amp; Assumptions'!$E$36</definedName>
    <definedName name="in_debt_c1_dscr_min">'Summary &amp; Assumptions'!$F$36</definedName>
    <definedName name="in_debt_c2_dscr_min">'Summary &amp; Assumptions'!$G$36</definedName>
    <definedName name="in_debt_c3_dscr_min">'Summary &amp; Assumptions'!$H$36</definedName>
    <definedName name="in_debt_senior_start_year">'Summary &amp; Assumptions'!$C$37</definedName>
    <definedName name="in_debt_mezz_start_year">'Summary &amp; Assumptions'!$D$37</definedName>
    <definedName name="in_deal_refi_year">'Summary &amp; Assumptions'!$E$37</definedName>
    <definedName name="in_debt_refi_start_year">'Summary &amp; Assumptions'!$E$37</definedName>
    <definedName name="in_debt_c1_start_year">'Summary &amp; Assumptions'!$F$37</definedName>
    <definedName name="in_debt_c2_start_year">'Summary &amp; Assumptions'!$G$37</definedName>
    <definedName name="in_debt_c3_start_year">'Summary &amp; Assumptions'!$H$37</definedName>
    <definedName name="in_debt_senior_term">'Summary &amp; Assumptions'!$C$38</definedName>
    <definedName name="in_debt_mezz_term">'Summary &amp; Assumptions'!$D$38</definedName>
    <definedName name="in_debt_refi_term">'Summary &amp; Assumptions'!$E$38</definedName>
    <definedName name="in_debt_c1_term">'Summary &amp; Assumptions'!$F$38</definedName>
    <definedName name="in_debt_c2_term">'Summary &amp; Assumptions'!$G$38</definedName>
    <definedName name="in_debt_c3_term">'Summary &amp; Assumptions'!$H$38</definedName>
    <definedName name="in_debt_senior_rate_type">'Summary &amp; Assumptions'!$C$39</definedName>
    <definedName name="in_debt_mezz_rate_type">'Summary &amp; Assumptions'!$D$39</definedName>
    <definedName name="in_debt_refi_rate_type">'Summary &amp; Assumptions'!$E$39</definedName>
    <definedName name="in_debt_c1_rate_type">'Summary &amp; Assumptions'!$F$39</definedName>
    <definedName name="in_debt_c2_rate_type">'Summary &amp; Assumptions'!$G$39</definedName>
    <definedName name="in_debt_c3_rate_type">'Summary &amp; Assumptions'!$H$39</definedName>
    <definedName name="in_debt_senior_fixed_rate">'Summary &amp; Assumptions'!$C$40</definedName>
    <definedName name="in_debt_mezz_fixed_rate">'Summary &amp; Assumptions'!$D$40</definedName>
    <definedName name="in_debt_refi_fixed_rate">'Summary &amp; Assumptions'!$E$40</definedName>
    <definedName name="in_debt_c1_fixed_rate">'Summary &amp; Assumptions'!$F$40</definedName>
    <definedName name="in_debt_c2_fixed_rate">'Summary &amp; Assumptions'!$G$40</definedName>
    <definedName name="in_debt_c3_fixed_rate">'Summary &amp; Assumptions'!$H$40</definedName>
    <definedName name="in_debt_senior_index">'Summary &amp; Assumptions'!$C$41</definedName>
    <definedName name="in_debt_mezz_index">'Summary &amp; Assumptions'!$D$41</definedName>
    <definedName name="in_debt_refi_index">'Summary &amp; Assumptions'!$E$41</definedName>
    <definedName name="in_debt_c1_index">'Summary &amp; Assumptions'!$F$41</definedName>
    <definedName name="in_debt_c2_index">'Summary &amp; Assumptions'!$G$41</definedName>
    <definedName name="in_debt_c3_index">'Summary &amp; Assumptions'!$H$41</definedName>
    <definedName name="in_debt_senior_spread">'Summary &amp; Assumptions'!$C$42</definedName>
    <definedName name="in_debt_mezz_spread">'Summary &amp; Assumptions'!$D$42</definedName>
    <definedName name="in_debt_refi_spread">'Summary &amp; Assumptions'!$E$42</definedName>
    <definedName name="in_debt_c1_spread">'Summary &amp; Assumptions'!$F$42</definedName>
    <definedName name="in_debt_c2_spread">'Summary &amp; Assumptions'!$G$42</definedName>
    <definedName name="in_debt_c3_spread">'Summary &amp; Assumptions'!$H$42</definedName>
    <definedName name="in_debt_senior_floor">'Summary &amp; Assumptions'!$C$43</definedName>
    <definedName name="in_debt_mezz_floor">'Summary &amp; Assumptions'!$D$43</definedName>
    <definedName name="in_debt_refi_floor">'Summary &amp; Assumptions'!$E$43</definedName>
    <definedName name="in_debt_c1_floor">'Summary &amp; Assumptions'!$F$43</definedName>
    <definedName name="in_debt_c2_floor">'Summary &amp; Assumptions'!$G$43</definedName>
    <definedName name="in_debt_c3_floor">'Summary &amp; Assumptions'!$H$43</definedName>
    <definedName name="in_debt_senior_cap">'Summary &amp; Assumptions'!$C$44</definedName>
    <definedName name="in_debt_mezz_cap">'Summary &amp; Assumptions'!$D$44</definedName>
    <definedName name="in_debt_refi_cap">'Summary &amp; Assumptions'!$E$44</definedName>
    <definedName name="in_debt_c1_cap">'Summary &amp; Assumptions'!$F$44</definedName>
    <definedName name="in_debt_c2_cap">'Summary &amp; Assumptions'!$G$44</definedName>
    <definedName name="in_debt_c3_cap">'Summary &amp; Assumptions'!$H$44</definedName>
    <definedName name="in_debt_senior_cap_cost">'Summary &amp; Assumptions'!$C$45</definedName>
    <definedName name="in_debt_mezz_cap_cost">'Summary &amp; Assumptions'!$D$45</definedName>
    <definedName name="in_debt_refi_cap_cost">'Summary &amp; Assumptions'!$E$45</definedName>
    <definedName name="in_debt_c1_cap_cost">'Summary &amp; Assumptions'!$F$45</definedName>
    <definedName name="in_debt_c2_cap_cost">'Summary &amp; Assumptions'!$G$45</definedName>
    <definedName name="in_debt_c3_cap_cost">'Summary &amp; Assumptions'!$H$45</definedName>
    <definedName name="in_debt_senior_structure">'Summary &amp; Assumptions'!$C$46</definedName>
    <definedName name="in_debt_mezz_structure">'Summary &amp; Assumptions'!$D$46</definedName>
    <definedName name="in_debt_refi_structure">'Summary &amp; Assumptions'!$E$46</definedName>
    <definedName name="in_debt_c1_structure">'Summary &amp; Assumptions'!$F$46</definedName>
    <definedName name="in_debt_c2_structure">'Summary &amp; Assumptions'!$G$46</definedName>
    <definedName name="in_debt_c3_structure">'Summary &amp; Assumptions'!$H$46</definedName>
    <definedName name="in_debt_senior_io_years">'Summary &amp; Assumptions'!$C$47</definedName>
    <definedName name="in_debt_mezz_io_years">'Summary &amp; Assumptions'!$D$47</definedName>
    <definedName name="in_debt_refi_io_years">'Summary &amp; Assumptions'!$E$47</definedName>
    <definedName name="in_debt_c1_io_years">'Summary &amp; Assumptions'!$F$47</definedName>
    <definedName name="in_debt_c2_io_years">'Summary &amp; Assumptions'!$G$47</definedName>
    <definedName name="in_debt_c3_io_years">'Summary &amp; Assumptions'!$H$47</definedName>
    <definedName name="in_debt_senior_amort_years">'Summary &amp; Assumptions'!$C$48</definedName>
    <definedName name="in_debt_mezz_amort_years">'Summary &amp; Assumptions'!$D$48</definedName>
    <definedName name="in_debt_refi_amort_years">'Summary &amp; Assumptions'!$E$48</definedName>
    <definedName name="in_debt_c1_amort_years">'Summary &amp; Assumptions'!$F$48</definedName>
    <definedName name="in_debt_c2_amort_years">'Summary &amp; Assumptions'!$G$48</definedName>
    <definedName name="in_debt_c3_amort_years">'Summary &amp; Assumptions'!$H$48</definedName>
    <definedName name="in_debt_senior_orig_fee_pct">'Summary &amp; Assumptions'!$C$49</definedName>
    <definedName name="in_debt_mezz_orig_fee_pct">'Summary &amp; Assumptions'!$D$49</definedName>
    <definedName name="in_debt_refi_orig_fee_pct">'Summary &amp; Assumptions'!$E$49</definedName>
    <definedName name="in_debt_c1_orig_fee_pct">'Summary &amp; Assumptions'!$F$49</definedName>
    <definedName name="in_debt_c2_orig_fee_pct">'Summary &amp; Assumptions'!$G$49</definedName>
    <definedName name="in_debt_c3_orig_fee_pct">'Summary &amp; Assumptions'!$H$49</definedName>
    <definedName name="out_debt_senior_amount">'Summary &amp; Assumptions'!$C$34</definedName>
    <definedName name="out_debt_mezz_amount">'Summary &amp; Assumptions'!$D$34</definedName>
    <definedName name="out_debt_refi_amount">'Summary &amp; Assumptions'!$E$34</definedName>
    <definedName name="out_debt_c1_amount">'Summary &amp; Assumptions'!$F$34</definedName>
    <definedName name="out_debt_c2_amount">'Summary &amp; Assumptions'!$G$34</definedName>
    <definedName name="out_debt_c3_amount">'Summary &amp; Assumptions'!$H$34</definedName>
    <definedName name="in_tax_method">'Summary &amp; Assumptions'!$C$53</definedName>
    <definedName name="in_tax_rate">'Summary &amp; Assumptions'!$H$53</definedName>
    <definedName name="out_tax_year1_preview">'Summary &amp; Assumptions'!$D$56</definedName>
    <definedName name="arr_tax_annual">'Summary &amp; Assumptions'!$D$56:$R$56</definedName>
    <definedName name="arr_tax_growth">'Summary &amp; Assumptions'!$E$55:$R$55</definedName>
    <definedName name="in_index_curve">'Summary &amp; Assumptions'!$C$63:$Q$63</definedName>
    <definedName name="out_su_gp_equity">'Summary &amp; Assumptions'!$C$66</definedName>
    <definedName name="out_su_lp_equity">'Summary &amp; Assumptions'!$C$67</definedName>
    <definedName name="out_su_senior">'Summary &amp; Assumptions'!$C$68</definedName>
    <definedName name="out_su_mezz">'Summary &amp; Assumptions'!$C$69</definedName>
    <definedName name="out_su_custom">'Summary &amp; Assumptions'!$C$70</definedName>
    <definedName name="out_su_total_sources">'Summary &amp; Assumptions'!$C$71</definedName>
    <definedName name="out_debt_total_close_fees">'Summary &amp; Assumptions'!$H$68</definedName>
    <definedName name="out_res_funded_at_close">'Summary &amp; Assumptions'!$H$69</definedName>
    <definedName name="out_su_total_uses">'Summary &amp; Assumptions'!$H$71</definedName>
    <definedName name="out_su_total_equity">'Summary &amp; Assumptions'!$C$73</definedName>
    <definedName name="out_su_equity_at_close">'Summary &amp; Assumptions'!$C$74</definedName>
    <definedName name="in_growth_rent">'CashFlow'!$F$6:$P$6</definedName>
    <definedName name="in_growth_other_income">'CashFlow'!$F$7:$P$7</definedName>
    <definedName name="in_growth_expense">'CashFlow'!$F$8:$P$8</definedName>
    <definedName name="in_growth_vacancy">'CashFlow'!$F$9:$P$9</definedName>
    <definedName name="out_unlev_irr">'CashFlow'!$D$32</definedName>
    <definedName name="out_lev_irr">'CashFlow'!$D$41</definedName>
    <definedName name="out_yoc_untrended">'CashFlow'!$D$51</definedName>
    <definedName name="out_yoc_trended">'CashFlow'!$D$52</definedName>
    <definedName name="out_breakeven_occ">'CashFlow'!$D$56</definedName>
    <definedName name="arr_a_lev_op_cf">'CashFlow'!$F$60:$T$60</definedName>
    <definedName name="out_exit_noi_fwd">'CashFlow'!$D$61</definedName>
    <definedName name="out_exit_noi_trailing">'CashFlow'!$D$62</definedName>
    <definedName name="out_exit_net_sale">'CashFlow'!$D$63</definedName>
    <definedName name="out_tie_check">'CashFlow'!$D$64</definedName>
    <definedName name="out_total_profit">'CashFlow'!$D$65</definedName>
    <definedName name="arr_a_egr">'CashFlow'!$F$16:$T$16</definedName>
    <definedName name="arr_a_downtime">'CashFlow'!$F$17:$T$17</definedName>
    <definedName name="arr_a_gpr_prem">'CashFlow'!$F$18:$T$18</definedName>
    <definedName name="arr_a_exp">'CashFlow'!$F$21:$T$21</definedName>
    <definedName name="arr_a_noi">'CashFlow'!$F$23:$T$23</definedName>
    <definedName name="arr_a_noi_sizing">'CashFlow'!$F$24:$T$24</definedName>
    <definedName name="arr_a_noi_ar">'CashFlow'!$F$26:$T$26</definedName>
    <definedName name="arr_a_capex">'CashFlow'!$F$27:$T$27</definedName>
    <definedName name="arr_a_unlev_cf">'CashFlow'!$F$31:$T$31</definedName>
    <definedName name="arr_a_ds">'CashFlow'!$F$35:$T$35</definedName>
    <definedName name="arr_a_payoffs">'CashFlow'!$F$36:$T$36</definedName>
    <definedName name="arr_a_debt_balance">'CashFlow'!$F$38:$T$38</definedName>
    <definedName name="arr_a_lev_cf">'CashFlow'!$F$40:$T$40</definedName>
    <definedName name="arr_a_coc">'CashFlow'!$F$44:$T$44</definedName>
    <definedName name="arr_a_dscr">'CashFlow'!$F$45:$T$45</definedName>
    <definedName name="arr_a_debt_yield">'CashFlow'!$F$46:$T$46</definedName>
    <definedName name="arr_a_value">'CashFlow'!$F$47:$T$47</definedName>
    <definedName name="out_unlev_irr_m">'CashFlow'!$D$32</definedName>
    <definedName name="out_lev_irr_m">'CashFlow'!$D$41</definedName>
    <definedName name="out_lev_cf_close">'CashFlow'!$E$40</definedName>
    <definedName name="in_t12_end_date">'P&amp;L'!$D$4</definedName>
    <definedName name="in_pl_t12_basis">'P&amp;L'!$U$6</definedName>
    <definedName name="in_t12_is_estimate">'P&amp;L'!$AM$4</definedName>
    <definedName name="in_pl_scenario">'P&amp;L'!$AB$4</definedName>
    <definedName name="in_pl_scen2_name">'P&amp;L'!$AF$6</definedName>
    <definedName name="in_pl_scen3_name">'P&amp;L'!$AH$6</definedName>
    <definedName name="in_pl_scen4_name">'P&amp;L'!$AJ$6</definedName>
    <definedName name="in_pl_scen2_gpr">'P&amp;L'!$AF$8</definedName>
    <definedName name="in_pl_scen3_gpr">'P&amp;L'!$AH$8</definedName>
    <definedName name="in_pl_scen4_gpr">'P&amp;L'!$AJ$8</definedName>
    <definedName name="in_t12_m_gpr">'P&amp;L'!$D$8:$O$8</definedName>
    <definedName name="in_t12_adj_gpr">'P&amp;L'!$T$8</definedName>
    <definedName name="out_t12_gpr">'P&amp;L'!$U$8</definedName>
    <definedName name="in_pl_y1_gpr">'P&amp;L'!$W$8</definedName>
    <definedName name="in_pl_calctype_gpr">'P&amp;L'!$X$8</definedName>
    <definedName name="in_pl_growth_gpr">'P&amp;L'!$AN$8</definedName>
    <definedName name="in_pl_rampup_gpr">'P&amp;L'!$AO$8</definedName>
    <definedName name="in_pl_scen2_ltl">'P&amp;L'!$AF$9</definedName>
    <definedName name="in_pl_scen3_ltl">'P&amp;L'!$AH$9</definedName>
    <definedName name="in_pl_scen4_ltl">'P&amp;L'!$AJ$9</definedName>
    <definedName name="in_t12_m_ltl">'P&amp;L'!$D$9:$O$9</definedName>
    <definedName name="in_t12_adj_ltl">'P&amp;L'!$T$9</definedName>
    <definedName name="out_t12_ltl">'P&amp;L'!$U$9</definedName>
    <definedName name="in_pl_y1_ltl">'P&amp;L'!$W$9</definedName>
    <definedName name="in_pl_calctype_ltl">'P&amp;L'!$X$9</definedName>
    <definedName name="in_pl_growth_ltl">'P&amp;L'!$AN$9</definedName>
    <definedName name="in_pl_rampup_ltl">'P&amp;L'!$AO$9</definedName>
    <definedName name="in_pl_scen2_vacancy">'P&amp;L'!$AF$10</definedName>
    <definedName name="in_pl_scen3_vacancy">'P&amp;L'!$AH$10</definedName>
    <definedName name="in_pl_scen4_vacancy">'P&amp;L'!$AJ$10</definedName>
    <definedName name="in_t12_m_vacancy">'P&amp;L'!$D$10:$O$10</definedName>
    <definedName name="in_t12_adj_vacancy">'P&amp;L'!$T$10</definedName>
    <definedName name="out_t12_vacancy">'P&amp;L'!$U$10</definedName>
    <definedName name="in_pl_y1_vacancy">'P&amp;L'!$W$10</definedName>
    <definedName name="in_pl_calctype_vacancy">'P&amp;L'!$X$10</definedName>
    <definedName name="in_pl_growth_vacancy">'P&amp;L'!$AN$10</definedName>
    <definedName name="in_pl_rampup_vacancy">'P&amp;L'!$AO$10</definedName>
    <definedName name="in_pl_scen2_nonrev">'P&amp;L'!$AF$11</definedName>
    <definedName name="in_pl_scen3_nonrev">'P&amp;L'!$AH$11</definedName>
    <definedName name="in_pl_scen4_nonrev">'P&amp;L'!$AJ$11</definedName>
    <definedName name="in_t12_m_nonrev">'P&amp;L'!$D$11:$O$11</definedName>
    <definedName name="in_t12_adj_nonrev">'P&amp;L'!$T$11</definedName>
    <definedName name="out_t12_nonrev">'P&amp;L'!$U$11</definedName>
    <definedName name="in_pl_y1_nonrev">'P&amp;L'!$W$11</definedName>
    <definedName name="in_pl_calctype_nonrev">'P&amp;L'!$X$11</definedName>
    <definedName name="in_pl_growth_nonrev">'P&amp;L'!$AN$11</definedName>
    <definedName name="in_pl_rampup_nonrev">'P&amp;L'!$AO$11</definedName>
    <definedName name="in_pl_scen2_concessions">'P&amp;L'!$AF$12</definedName>
    <definedName name="in_pl_scen3_concessions">'P&amp;L'!$AH$12</definedName>
    <definedName name="in_pl_scen4_concessions">'P&amp;L'!$AJ$12</definedName>
    <definedName name="in_t12_m_concessions">'P&amp;L'!$D$12:$O$12</definedName>
    <definedName name="in_t12_adj_concessions">'P&amp;L'!$T$12</definedName>
    <definedName name="out_t12_concessions">'P&amp;L'!$U$12</definedName>
    <definedName name="in_pl_y1_concessions">'P&amp;L'!$W$12</definedName>
    <definedName name="in_pl_calctype_concessions">'P&amp;L'!$X$12</definedName>
    <definedName name="in_pl_growth_concessions">'P&amp;L'!$AN$12</definedName>
    <definedName name="in_pl_rampup_concessions">'P&amp;L'!$AO$12</definedName>
    <definedName name="in_pl_scen2_bad_debt">'P&amp;L'!$AF$13</definedName>
    <definedName name="in_pl_scen3_bad_debt">'P&amp;L'!$AH$13</definedName>
    <definedName name="in_pl_scen4_bad_debt">'P&amp;L'!$AJ$13</definedName>
    <definedName name="in_t12_m_bad_debt">'P&amp;L'!$D$13:$O$13</definedName>
    <definedName name="in_t12_adj_bad_debt">'P&amp;L'!$T$13</definedName>
    <definedName name="out_t12_bad_debt">'P&amp;L'!$U$13</definedName>
    <definedName name="in_pl_y1_bad_debt">'P&amp;L'!$W$13</definedName>
    <definedName name="in_pl_calctype_bad_debt">'P&amp;L'!$X$13</definedName>
    <definedName name="in_pl_growth_bad_debt">'P&amp;L'!$AN$13</definedName>
    <definedName name="in_pl_rampup_bad_debt">'P&amp;L'!$AO$13</definedName>
    <definedName name="in_pl_scen2_reimb">'P&amp;L'!$AF$14</definedName>
    <definedName name="in_pl_scen3_reimb">'P&amp;L'!$AH$14</definedName>
    <definedName name="in_pl_scen4_reimb">'P&amp;L'!$AJ$14</definedName>
    <definedName name="in_t12_m_reimb">'P&amp;L'!$D$14:$O$14</definedName>
    <definedName name="in_t12_adj_reimb">'P&amp;L'!$T$14</definedName>
    <definedName name="out_t12_reimb">'P&amp;L'!$U$14</definedName>
    <definedName name="in_pl_y1_reimb">'P&amp;L'!$W$14</definedName>
    <definedName name="in_pl_calctype_reimb">'P&amp;L'!$X$14</definedName>
    <definedName name="in_pl_growth_reimb">'P&amp;L'!$AN$14</definedName>
    <definedName name="in_pl_rampup_reimb">'P&amp;L'!$AO$14</definedName>
    <definedName name="in_pl_scen2_reimb_general">'P&amp;L'!$AF$15</definedName>
    <definedName name="in_pl_scen3_reimb_general">'P&amp;L'!$AH$15</definedName>
    <definedName name="in_pl_scen4_reimb_general">'P&amp;L'!$AJ$15</definedName>
    <definedName name="in_t12_m_reimb_general">'P&amp;L'!$D$15:$O$15</definedName>
    <definedName name="in_t12_adj_reimb_general">'P&amp;L'!$T$15</definedName>
    <definedName name="out_t12_reimb_general">'P&amp;L'!$U$15</definedName>
    <definedName name="in_pl_y1_reimb_general">'P&amp;L'!$W$15</definedName>
    <definedName name="in_pl_calctype_reimb_general">'P&amp;L'!$X$15</definedName>
    <definedName name="in_pl_growth_reimb_general">'P&amp;L'!$AN$15</definedName>
    <definedName name="in_pl_rampup_reimb_general">'P&amp;L'!$AO$15</definedName>
    <definedName name="out_pl_y1_reimb_general">'P&amp;L'!$Z$15</definedName>
    <definedName name="in_pl_scen2_reimb_electric">'P&amp;L'!$AF$16</definedName>
    <definedName name="in_pl_scen3_reimb_electric">'P&amp;L'!$AH$16</definedName>
    <definedName name="in_pl_scen4_reimb_electric">'P&amp;L'!$AJ$16</definedName>
    <definedName name="in_t12_m_reimb_electric">'P&amp;L'!$D$16:$O$16</definedName>
    <definedName name="in_t12_adj_reimb_electric">'P&amp;L'!$T$16</definedName>
    <definedName name="out_t12_reimb_electric">'P&amp;L'!$U$16</definedName>
    <definedName name="in_pl_y1_reimb_electric">'P&amp;L'!$W$16</definedName>
    <definedName name="in_pl_calctype_reimb_electric">'P&amp;L'!$X$16</definedName>
    <definedName name="in_pl_growth_reimb_electric">'P&amp;L'!$AN$16</definedName>
    <definedName name="in_pl_rampup_reimb_electric">'P&amp;L'!$AO$16</definedName>
    <definedName name="out_pl_y1_reimb_electric">'P&amp;L'!$Z$16</definedName>
    <definedName name="in_pl_scen2_reimb_water">'P&amp;L'!$AF$17</definedName>
    <definedName name="in_pl_scen3_reimb_water">'P&amp;L'!$AH$17</definedName>
    <definedName name="in_pl_scen4_reimb_water">'P&amp;L'!$AJ$17</definedName>
    <definedName name="in_t12_m_reimb_water">'P&amp;L'!$D$17:$O$17</definedName>
    <definedName name="in_t12_adj_reimb_water">'P&amp;L'!$T$17</definedName>
    <definedName name="out_t12_reimb_water">'P&amp;L'!$U$17</definedName>
    <definedName name="in_pl_y1_reimb_water">'P&amp;L'!$W$17</definedName>
    <definedName name="in_pl_calctype_reimb_water">'P&amp;L'!$X$17</definedName>
    <definedName name="in_pl_growth_reimb_water">'P&amp;L'!$AN$17</definedName>
    <definedName name="in_pl_rampup_reimb_water">'P&amp;L'!$AO$17</definedName>
    <definedName name="out_pl_y1_reimb_water">'P&amp;L'!$Z$17</definedName>
    <definedName name="in_pl_scen2_reimb_gas">'P&amp;L'!$AF$18</definedName>
    <definedName name="in_pl_scen3_reimb_gas">'P&amp;L'!$AH$18</definedName>
    <definedName name="in_pl_scen4_reimb_gas">'P&amp;L'!$AJ$18</definedName>
    <definedName name="in_t12_m_reimb_gas">'P&amp;L'!$D$18:$O$18</definedName>
    <definedName name="in_t12_adj_reimb_gas">'P&amp;L'!$T$18</definedName>
    <definedName name="out_t12_reimb_gas">'P&amp;L'!$U$18</definedName>
    <definedName name="in_pl_y1_reimb_gas">'P&amp;L'!$W$18</definedName>
    <definedName name="in_pl_calctype_reimb_gas">'P&amp;L'!$X$18</definedName>
    <definedName name="in_pl_growth_reimb_gas">'P&amp;L'!$AN$18</definedName>
    <definedName name="in_pl_rampup_reimb_gas">'P&amp;L'!$AO$18</definedName>
    <definedName name="out_pl_y1_reimb_gas">'P&amp;L'!$Z$18</definedName>
    <definedName name="in_pl_scen2_reimb_trash">'P&amp;L'!$AF$19</definedName>
    <definedName name="in_pl_scen3_reimb_trash">'P&amp;L'!$AH$19</definedName>
    <definedName name="in_pl_scen4_reimb_trash">'P&amp;L'!$AJ$19</definedName>
    <definedName name="in_t12_m_reimb_trash">'P&amp;L'!$D$19:$O$19</definedName>
    <definedName name="in_t12_adj_reimb_trash">'P&amp;L'!$T$19</definedName>
    <definedName name="out_t12_reimb_trash">'P&amp;L'!$U$19</definedName>
    <definedName name="in_pl_y1_reimb_trash">'P&amp;L'!$W$19</definedName>
    <definedName name="in_pl_calctype_reimb_trash">'P&amp;L'!$X$19</definedName>
    <definedName name="in_pl_growth_reimb_trash">'P&amp;L'!$AN$19</definedName>
    <definedName name="in_pl_rampup_reimb_trash">'P&amp;L'!$AO$19</definedName>
    <definedName name="out_pl_y1_reimb_trash">'P&amp;L'!$Z$19</definedName>
    <definedName name="in_pl_scen2_commercial">'P&amp;L'!$AF$20</definedName>
    <definedName name="in_pl_scen3_commercial">'P&amp;L'!$AH$20</definedName>
    <definedName name="in_pl_scen4_commercial">'P&amp;L'!$AJ$20</definedName>
    <definedName name="in_t12_m_commercial">'P&amp;L'!$D$20:$O$20</definedName>
    <definedName name="in_t12_adj_commercial">'P&amp;L'!$T$20</definedName>
    <definedName name="out_t12_commercial">'P&amp;L'!$U$20</definedName>
    <definedName name="in_pl_y1_commercial">'P&amp;L'!$W$20</definedName>
    <definedName name="in_pl_calctype_commercial">'P&amp;L'!$X$20</definedName>
    <definedName name="in_pl_growth_commercial">'P&amp;L'!$AN$20</definedName>
    <definedName name="in_pl_rampup_commercial">'P&amp;L'!$AO$20</definedName>
    <definedName name="in_pl_scen2_other">'P&amp;L'!$AF$21</definedName>
    <definedName name="in_pl_scen3_other">'P&amp;L'!$AH$21</definedName>
    <definedName name="in_pl_scen4_other">'P&amp;L'!$AJ$21</definedName>
    <definedName name="in_t12_m_other">'P&amp;L'!$D$21:$O$21</definedName>
    <definedName name="in_t12_adj_other">'P&amp;L'!$T$21</definedName>
    <definedName name="out_t12_other">'P&amp;L'!$U$21</definedName>
    <definedName name="in_pl_y1_other">'P&amp;L'!$W$21</definedName>
    <definedName name="in_pl_calctype_other">'P&amp;L'!$X$21</definedName>
    <definedName name="in_pl_growth_other">'P&amp;L'!$AN$21</definedName>
    <definedName name="in_pl_rampup_other">'P&amp;L'!$AO$21</definedName>
    <definedName name="in_pl_scen2_oth_general">'P&amp;L'!$AF$22</definedName>
    <definedName name="in_pl_scen3_oth_general">'P&amp;L'!$AH$22</definedName>
    <definedName name="in_pl_scen4_oth_general">'P&amp;L'!$AJ$22</definedName>
    <definedName name="in_t12_m_oth_general">'P&amp;L'!$D$22:$O$22</definedName>
    <definedName name="in_t12_adj_oth_general">'P&amp;L'!$T$22</definedName>
    <definedName name="out_t12_oth_general">'P&amp;L'!$U$22</definedName>
    <definedName name="in_pl_y1_oth_general">'P&amp;L'!$W$22</definedName>
    <definedName name="in_pl_calctype_oth_general">'P&amp;L'!$X$22</definedName>
    <definedName name="in_pl_growth_oth_general">'P&amp;L'!$AN$22</definedName>
    <definedName name="in_pl_rampup_oth_general">'P&amp;L'!$AO$22</definedName>
    <definedName name="out_pl_y1_oth_general">'P&amp;L'!$Z$22</definedName>
    <definedName name="in_pl_scen2_oth_parking">'P&amp;L'!$AF$23</definedName>
    <definedName name="in_pl_scen3_oth_parking">'P&amp;L'!$AH$23</definedName>
    <definedName name="in_pl_scen4_oth_parking">'P&amp;L'!$AJ$23</definedName>
    <definedName name="in_t12_m_oth_parking">'P&amp;L'!$D$23:$O$23</definedName>
    <definedName name="in_t12_adj_oth_parking">'P&amp;L'!$T$23</definedName>
    <definedName name="out_t12_oth_parking">'P&amp;L'!$U$23</definedName>
    <definedName name="in_pl_y1_oth_parking">'P&amp;L'!$W$23</definedName>
    <definedName name="in_pl_calctype_oth_parking">'P&amp;L'!$X$23</definedName>
    <definedName name="in_pl_growth_oth_parking">'P&amp;L'!$AN$23</definedName>
    <definedName name="in_pl_rampup_oth_parking">'P&amp;L'!$AO$23</definedName>
    <definedName name="out_pl_y1_oth_parking">'P&amp;L'!$Z$23</definedName>
    <definedName name="in_pl_scen2_oth_pet">'P&amp;L'!$AF$24</definedName>
    <definedName name="in_pl_scen3_oth_pet">'P&amp;L'!$AH$24</definedName>
    <definedName name="in_pl_scen4_oth_pet">'P&amp;L'!$AJ$24</definedName>
    <definedName name="in_t12_m_oth_pet">'P&amp;L'!$D$24:$O$24</definedName>
    <definedName name="in_t12_adj_oth_pet">'P&amp;L'!$T$24</definedName>
    <definedName name="out_t12_oth_pet">'P&amp;L'!$U$24</definedName>
    <definedName name="in_pl_y1_oth_pet">'P&amp;L'!$W$24</definedName>
    <definedName name="in_pl_calctype_oth_pet">'P&amp;L'!$X$24</definedName>
    <definedName name="in_pl_growth_oth_pet">'P&amp;L'!$AN$24</definedName>
    <definedName name="in_pl_rampup_oth_pet">'P&amp;L'!$AO$24</definedName>
    <definedName name="out_pl_y1_oth_pet">'P&amp;L'!$Z$24</definedName>
    <definedName name="in_pl_scen2_oth_fees">'P&amp;L'!$AF$25</definedName>
    <definedName name="in_pl_scen3_oth_fees">'P&amp;L'!$AH$25</definedName>
    <definedName name="in_pl_scen4_oth_fees">'P&amp;L'!$AJ$25</definedName>
    <definedName name="in_t12_m_oth_fees">'P&amp;L'!$D$25:$O$25</definedName>
    <definedName name="in_t12_adj_oth_fees">'P&amp;L'!$T$25</definedName>
    <definedName name="out_t12_oth_fees">'P&amp;L'!$U$25</definedName>
    <definedName name="in_pl_y1_oth_fees">'P&amp;L'!$W$25</definedName>
    <definedName name="in_pl_calctype_oth_fees">'P&amp;L'!$X$25</definedName>
    <definedName name="in_pl_growth_oth_fees">'P&amp;L'!$AN$25</definedName>
    <definedName name="in_pl_rampup_oth_fees">'P&amp;L'!$AO$25</definedName>
    <definedName name="out_pl_y1_oth_fees">'P&amp;L'!$Z$25</definedName>
    <definedName name="in_pl_scen2_oth_storage">'P&amp;L'!$AF$26</definedName>
    <definedName name="in_pl_scen3_oth_storage">'P&amp;L'!$AH$26</definedName>
    <definedName name="in_pl_scen4_oth_storage">'P&amp;L'!$AJ$26</definedName>
    <definedName name="in_t12_m_oth_storage">'P&amp;L'!$D$26:$O$26</definedName>
    <definedName name="in_t12_adj_oth_storage">'P&amp;L'!$T$26</definedName>
    <definedName name="out_t12_oth_storage">'P&amp;L'!$U$26</definedName>
    <definedName name="in_pl_y1_oth_storage">'P&amp;L'!$W$26</definedName>
    <definedName name="in_pl_calctype_oth_storage">'P&amp;L'!$X$26</definedName>
    <definedName name="in_pl_growth_oth_storage">'P&amp;L'!$AN$26</definedName>
    <definedName name="in_pl_rampup_oth_storage">'P&amp;L'!$AO$26</definedName>
    <definedName name="out_pl_y1_oth_storage">'P&amp;L'!$Z$26</definedName>
    <definedName name="in_pl_scen2_oth_laundry">'P&amp;L'!$AF$27</definedName>
    <definedName name="in_pl_scen3_oth_laundry">'P&amp;L'!$AH$27</definedName>
    <definedName name="in_pl_scen4_oth_laundry">'P&amp;L'!$AJ$27</definedName>
    <definedName name="in_t12_m_oth_laundry">'P&amp;L'!$D$27:$O$27</definedName>
    <definedName name="in_t12_adj_oth_laundry">'P&amp;L'!$T$27</definedName>
    <definedName name="out_t12_oth_laundry">'P&amp;L'!$U$27</definedName>
    <definedName name="in_pl_y1_oth_laundry">'P&amp;L'!$W$27</definedName>
    <definedName name="in_pl_calctype_oth_laundry">'P&amp;L'!$X$27</definedName>
    <definedName name="in_pl_growth_oth_laundry">'P&amp;L'!$AN$27</definedName>
    <definedName name="in_pl_rampup_oth_laundry">'P&amp;L'!$AO$27</definedName>
    <definedName name="out_pl_y1_oth_laundry">'P&amp;L'!$Z$27</definedName>
    <definedName name="out_pl_y1_gpr">'P&amp;L'!$Z$8</definedName>
    <definedName name="out_pl_y1_ltl">'P&amp;L'!$Z$9</definedName>
    <definedName name="out_pl_y1_vacancy">'P&amp;L'!$Z$10</definedName>
    <definedName name="out_pl_y1_nonrev">'P&amp;L'!$Z$11</definedName>
    <definedName name="out_pl_y1_concessions">'P&amp;L'!$Z$12</definedName>
    <definedName name="out_pl_y1_bad_debt">'P&amp;L'!$Z$13</definedName>
    <definedName name="out_pl_y1_reimb">'P&amp;L'!$Z$14</definedName>
    <definedName name="out_pl_y1_commercial">'P&amp;L'!$Z$20</definedName>
    <definedName name="out_pl_y1_other">'P&amp;L'!$Z$21</definedName>
    <definedName name="out_t12_egr">'P&amp;L'!$U$28</definedName>
    <definedName name="out_pl_y1_total_income">'P&amp;L'!$Z$28</definedName>
    <definedName name="in_pl_scen2_taxes">'P&amp;L'!$AF$31</definedName>
    <definedName name="in_pl_scen3_taxes">'P&amp;L'!$AH$31</definedName>
    <definedName name="in_pl_scen4_taxes">'P&amp;L'!$AJ$31</definedName>
    <definedName name="in_t12_m_taxes">'P&amp;L'!$D$31:$O$31</definedName>
    <definedName name="in_t12_adj_taxes">'P&amp;L'!$T$31</definedName>
    <definedName name="out_t12_taxes">'P&amp;L'!$U$31</definedName>
    <definedName name="in_pl_y1_taxes">'P&amp;L'!$W$31</definedName>
    <definedName name="in_pl_calctype_taxes">'P&amp;L'!$X$31</definedName>
    <definedName name="in_pl_growth_taxes">'P&amp;L'!$AN$31</definedName>
    <definedName name="in_pl_rampup_taxes">'P&amp;L'!$AO$31</definedName>
    <definedName name="in_pl_scen2_insurance">'P&amp;L'!$AF$32</definedName>
    <definedName name="in_pl_scen3_insurance">'P&amp;L'!$AH$32</definedName>
    <definedName name="in_pl_scen4_insurance">'P&amp;L'!$AJ$32</definedName>
    <definedName name="in_t12_m_insurance">'P&amp;L'!$D$32:$O$32</definedName>
    <definedName name="in_t12_adj_insurance">'P&amp;L'!$T$32</definedName>
    <definedName name="out_t12_insurance">'P&amp;L'!$U$32</definedName>
    <definedName name="in_pl_y1_insurance">'P&amp;L'!$W$32</definedName>
    <definedName name="in_pl_calctype_insurance">'P&amp;L'!$X$32</definedName>
    <definedName name="in_pl_growth_insurance">'P&amp;L'!$AN$32</definedName>
    <definedName name="in_pl_rampup_insurance">'P&amp;L'!$AO$32</definedName>
    <definedName name="in_pl_scen2_salaries">'P&amp;L'!$AF$33</definedName>
    <definedName name="in_pl_scen3_salaries">'P&amp;L'!$AH$33</definedName>
    <definedName name="in_pl_scen4_salaries">'P&amp;L'!$AJ$33</definedName>
    <definedName name="in_t12_m_salaries">'P&amp;L'!$D$33:$O$33</definedName>
    <definedName name="in_t12_adj_salaries">'P&amp;L'!$T$33</definedName>
    <definedName name="out_t12_salaries">'P&amp;L'!$U$33</definedName>
    <definedName name="in_pl_y1_salaries">'P&amp;L'!$W$33</definedName>
    <definedName name="in_pl_calctype_salaries">'P&amp;L'!$X$33</definedName>
    <definedName name="in_pl_growth_salaries">'P&amp;L'!$AN$33</definedName>
    <definedName name="in_pl_rampup_salaries">'P&amp;L'!$AO$33</definedName>
    <definedName name="in_pl_scen2_rm">'P&amp;L'!$AF$34</definedName>
    <definedName name="in_pl_scen3_rm">'P&amp;L'!$AH$34</definedName>
    <definedName name="in_pl_scen4_rm">'P&amp;L'!$AJ$34</definedName>
    <definedName name="in_t12_m_rm">'P&amp;L'!$D$34:$O$34</definedName>
    <definedName name="in_t12_adj_rm">'P&amp;L'!$T$34</definedName>
    <definedName name="out_t12_rm">'P&amp;L'!$U$34</definedName>
    <definedName name="in_pl_y1_rm">'P&amp;L'!$W$34</definedName>
    <definedName name="in_pl_calctype_rm">'P&amp;L'!$X$34</definedName>
    <definedName name="in_pl_growth_rm">'P&amp;L'!$AN$34</definedName>
    <definedName name="in_pl_rampup_rm">'P&amp;L'!$AO$34</definedName>
    <definedName name="in_pl_scen2_rm_general">'P&amp;L'!$AF$35</definedName>
    <definedName name="in_pl_scen3_rm_general">'P&amp;L'!$AH$35</definedName>
    <definedName name="in_pl_scen4_rm_general">'P&amp;L'!$AJ$35</definedName>
    <definedName name="in_t12_m_rm_general">'P&amp;L'!$D$35:$O$35</definedName>
    <definedName name="in_t12_adj_rm_general">'P&amp;L'!$T$35</definedName>
    <definedName name="out_t12_rm_general">'P&amp;L'!$U$35</definedName>
    <definedName name="in_pl_y1_rm_general">'P&amp;L'!$W$35</definedName>
    <definedName name="in_pl_calctype_rm_general">'P&amp;L'!$X$35</definedName>
    <definedName name="in_pl_growth_rm_general">'P&amp;L'!$AN$35</definedName>
    <definedName name="in_pl_rampup_rm_general">'P&amp;L'!$AO$35</definedName>
    <definedName name="out_pl_y1_rm_general">'P&amp;L'!$Z$35</definedName>
    <definedName name="in_pl_scen2_rm_contract">'P&amp;L'!$AF$36</definedName>
    <definedName name="in_pl_scen3_rm_contract">'P&amp;L'!$AH$36</definedName>
    <definedName name="in_pl_scen4_rm_contract">'P&amp;L'!$AJ$36</definedName>
    <definedName name="in_t12_m_rm_contract">'P&amp;L'!$D$36:$O$36</definedName>
    <definedName name="in_t12_adj_rm_contract">'P&amp;L'!$T$36</definedName>
    <definedName name="out_t12_rm_contract">'P&amp;L'!$U$36</definedName>
    <definedName name="in_pl_y1_rm_contract">'P&amp;L'!$W$36</definedName>
    <definedName name="in_pl_calctype_rm_contract">'P&amp;L'!$X$36</definedName>
    <definedName name="in_pl_growth_rm_contract">'P&amp;L'!$AN$36</definedName>
    <definedName name="in_pl_rampup_rm_contract">'P&amp;L'!$AO$36</definedName>
    <definedName name="out_pl_y1_rm_contract">'P&amp;L'!$Z$36</definedName>
    <definedName name="in_pl_scen2_rm_turnover">'P&amp;L'!$AF$37</definedName>
    <definedName name="in_pl_scen3_rm_turnover">'P&amp;L'!$AH$37</definedName>
    <definedName name="in_pl_scen4_rm_turnover">'P&amp;L'!$AJ$37</definedName>
    <definedName name="in_t12_m_rm_turnover">'P&amp;L'!$D$37:$O$37</definedName>
    <definedName name="in_t12_adj_rm_turnover">'P&amp;L'!$T$37</definedName>
    <definedName name="out_t12_rm_turnover">'P&amp;L'!$U$37</definedName>
    <definedName name="in_pl_y1_rm_turnover">'P&amp;L'!$W$37</definedName>
    <definedName name="in_pl_calctype_rm_turnover">'P&amp;L'!$X$37</definedName>
    <definedName name="in_pl_growth_rm_turnover">'P&amp;L'!$AN$37</definedName>
    <definedName name="in_pl_rampup_rm_turnover">'P&amp;L'!$AO$37</definedName>
    <definedName name="out_pl_y1_rm_turnover">'P&amp;L'!$Z$37</definedName>
    <definedName name="in_pl_scen2_utilities">'P&amp;L'!$AF$38</definedName>
    <definedName name="in_pl_scen3_utilities">'P&amp;L'!$AH$38</definedName>
    <definedName name="in_pl_scen4_utilities">'P&amp;L'!$AJ$38</definedName>
    <definedName name="in_t12_m_utilities">'P&amp;L'!$D$38:$O$38</definedName>
    <definedName name="in_t12_adj_utilities">'P&amp;L'!$T$38</definedName>
    <definedName name="out_t12_utilities">'P&amp;L'!$U$38</definedName>
    <definedName name="in_pl_y1_utilities">'P&amp;L'!$W$38</definedName>
    <definedName name="in_pl_calctype_utilities">'P&amp;L'!$X$38</definedName>
    <definedName name="in_pl_growth_utilities">'P&amp;L'!$AN$38</definedName>
    <definedName name="in_pl_rampup_utilities">'P&amp;L'!$AO$38</definedName>
    <definedName name="in_pl_scen2_util_general">'P&amp;L'!$AF$39</definedName>
    <definedName name="in_pl_scen3_util_general">'P&amp;L'!$AH$39</definedName>
    <definedName name="in_pl_scen4_util_general">'P&amp;L'!$AJ$39</definedName>
    <definedName name="in_t12_m_util_general">'P&amp;L'!$D$39:$O$39</definedName>
    <definedName name="in_t12_adj_util_general">'P&amp;L'!$T$39</definedName>
    <definedName name="out_t12_util_general">'P&amp;L'!$U$39</definedName>
    <definedName name="in_pl_y1_util_general">'P&amp;L'!$W$39</definedName>
    <definedName name="in_pl_calctype_util_general">'P&amp;L'!$X$39</definedName>
    <definedName name="in_pl_growth_util_general">'P&amp;L'!$AN$39</definedName>
    <definedName name="in_pl_rampup_util_general">'P&amp;L'!$AO$39</definedName>
    <definedName name="out_pl_y1_util_general">'P&amp;L'!$Z$39</definedName>
    <definedName name="in_pl_scen2_util_electric">'P&amp;L'!$AF$40</definedName>
    <definedName name="in_pl_scen3_util_electric">'P&amp;L'!$AH$40</definedName>
    <definedName name="in_pl_scen4_util_electric">'P&amp;L'!$AJ$40</definedName>
    <definedName name="in_t12_m_util_electric">'P&amp;L'!$D$40:$O$40</definedName>
    <definedName name="in_t12_adj_util_electric">'P&amp;L'!$T$40</definedName>
    <definedName name="out_t12_util_electric">'P&amp;L'!$U$40</definedName>
    <definedName name="in_pl_y1_util_electric">'P&amp;L'!$W$40</definedName>
    <definedName name="in_pl_calctype_util_electric">'P&amp;L'!$X$40</definedName>
    <definedName name="in_pl_growth_util_electric">'P&amp;L'!$AN$40</definedName>
    <definedName name="in_pl_rampup_util_electric">'P&amp;L'!$AO$40</definedName>
    <definedName name="out_pl_y1_util_electric">'P&amp;L'!$Z$40</definedName>
    <definedName name="in_pl_scen2_util_water">'P&amp;L'!$AF$41</definedName>
    <definedName name="in_pl_scen3_util_water">'P&amp;L'!$AH$41</definedName>
    <definedName name="in_pl_scen4_util_water">'P&amp;L'!$AJ$41</definedName>
    <definedName name="in_t12_m_util_water">'P&amp;L'!$D$41:$O$41</definedName>
    <definedName name="in_t12_adj_util_water">'P&amp;L'!$T$41</definedName>
    <definedName name="out_t12_util_water">'P&amp;L'!$U$41</definedName>
    <definedName name="in_pl_y1_util_water">'P&amp;L'!$W$41</definedName>
    <definedName name="in_pl_calctype_util_water">'P&amp;L'!$X$41</definedName>
    <definedName name="in_pl_growth_util_water">'P&amp;L'!$AN$41</definedName>
    <definedName name="in_pl_rampup_util_water">'P&amp;L'!$AO$41</definedName>
    <definedName name="out_pl_y1_util_water">'P&amp;L'!$Z$41</definedName>
    <definedName name="in_pl_scen2_util_gas">'P&amp;L'!$AF$42</definedName>
    <definedName name="in_pl_scen3_util_gas">'P&amp;L'!$AH$42</definedName>
    <definedName name="in_pl_scen4_util_gas">'P&amp;L'!$AJ$42</definedName>
    <definedName name="in_t12_m_util_gas">'P&amp;L'!$D$42:$O$42</definedName>
    <definedName name="in_t12_adj_util_gas">'P&amp;L'!$T$42</definedName>
    <definedName name="out_t12_util_gas">'P&amp;L'!$U$42</definedName>
    <definedName name="in_pl_y1_util_gas">'P&amp;L'!$W$42</definedName>
    <definedName name="in_pl_calctype_util_gas">'P&amp;L'!$X$42</definedName>
    <definedName name="in_pl_growth_util_gas">'P&amp;L'!$AN$42</definedName>
    <definedName name="in_pl_rampup_util_gas">'P&amp;L'!$AO$42</definedName>
    <definedName name="out_pl_y1_util_gas">'P&amp;L'!$Z$42</definedName>
    <definedName name="in_pl_scen2_util_trash">'P&amp;L'!$AF$43</definedName>
    <definedName name="in_pl_scen3_util_trash">'P&amp;L'!$AH$43</definedName>
    <definedName name="in_pl_scen4_util_trash">'P&amp;L'!$AJ$43</definedName>
    <definedName name="in_t12_m_util_trash">'P&amp;L'!$D$43:$O$43</definedName>
    <definedName name="in_t12_adj_util_trash">'P&amp;L'!$T$43</definedName>
    <definedName name="out_t12_util_trash">'P&amp;L'!$U$43</definedName>
    <definedName name="in_pl_y1_util_trash">'P&amp;L'!$W$43</definedName>
    <definedName name="in_pl_calctype_util_trash">'P&amp;L'!$X$43</definedName>
    <definedName name="in_pl_growth_util_trash">'P&amp;L'!$AN$43</definedName>
    <definedName name="in_pl_rampup_util_trash">'P&amp;L'!$AO$43</definedName>
    <definedName name="out_pl_y1_util_trash">'P&amp;L'!$Z$43</definedName>
    <definedName name="in_pl_scen2_marketing">'P&amp;L'!$AF$44</definedName>
    <definedName name="in_pl_scen3_marketing">'P&amp;L'!$AH$44</definedName>
    <definedName name="in_pl_scen4_marketing">'P&amp;L'!$AJ$44</definedName>
    <definedName name="in_t12_m_marketing">'P&amp;L'!$D$44:$O$44</definedName>
    <definedName name="in_t12_adj_marketing">'P&amp;L'!$T$44</definedName>
    <definedName name="out_t12_marketing">'P&amp;L'!$U$44</definedName>
    <definedName name="in_pl_y1_marketing">'P&amp;L'!$W$44</definedName>
    <definedName name="in_pl_calctype_marketing">'P&amp;L'!$X$44</definedName>
    <definedName name="in_pl_growth_marketing">'P&amp;L'!$AN$44</definedName>
    <definedName name="in_pl_rampup_marketing">'P&amp;L'!$AO$44</definedName>
    <definedName name="in_pl_scen2_admin">'P&amp;L'!$AF$45</definedName>
    <definedName name="in_pl_scen3_admin">'P&amp;L'!$AH$45</definedName>
    <definedName name="in_pl_scen4_admin">'P&amp;L'!$AJ$45</definedName>
    <definedName name="in_t12_m_admin">'P&amp;L'!$D$45:$O$45</definedName>
    <definedName name="in_t12_adj_admin">'P&amp;L'!$T$45</definedName>
    <definedName name="out_t12_admin">'P&amp;L'!$U$45</definedName>
    <definedName name="in_pl_y1_admin">'P&amp;L'!$W$45</definedName>
    <definedName name="in_pl_calctype_admin">'P&amp;L'!$X$45</definedName>
    <definedName name="in_pl_growth_admin">'P&amp;L'!$AN$45</definedName>
    <definedName name="in_pl_rampup_admin">'P&amp;L'!$AO$45</definedName>
    <definedName name="in_pl_scen2_mgmt">'P&amp;L'!$AF$46</definedName>
    <definedName name="in_pl_scen3_mgmt">'P&amp;L'!$AH$46</definedName>
    <definedName name="in_pl_scen4_mgmt">'P&amp;L'!$AJ$46</definedName>
    <definedName name="in_t12_m_mgmt">'P&amp;L'!$D$46:$O$46</definedName>
    <definedName name="in_t12_adj_mgmt">'P&amp;L'!$T$46</definedName>
    <definedName name="out_t12_mgmt">'P&amp;L'!$U$46</definedName>
    <definedName name="in_pl_y1_mgmt">'P&amp;L'!$W$46</definedName>
    <definedName name="in_pl_calctype_mgmt">'P&amp;L'!$X$46</definedName>
    <definedName name="in_pl_growth_mgmt">'P&amp;L'!$AN$46</definedName>
    <definedName name="in_pl_rampup_mgmt">'P&amp;L'!$AO$46</definedName>
    <definedName name="in_pl_scen2_unmapped">'P&amp;L'!$AF$47</definedName>
    <definedName name="in_pl_scen3_unmapped">'P&amp;L'!$AH$47</definedName>
    <definedName name="in_pl_scen4_unmapped">'P&amp;L'!$AJ$47</definedName>
    <definedName name="in_t12_m_unmapped">'P&amp;L'!$D$47:$O$47</definedName>
    <definedName name="in_t12_adj_unmapped">'P&amp;L'!$T$47</definedName>
    <definedName name="out_t12_unmapped">'P&amp;L'!$U$47</definedName>
    <definedName name="in_pl_y1_unmapped">'P&amp;L'!$W$47</definedName>
    <definedName name="in_pl_calctype_unmapped">'P&amp;L'!$X$47</definedName>
    <definedName name="in_pl_growth_unmapped">'P&amp;L'!$AN$47</definedName>
    <definedName name="in_pl_rampup_unmapped">'P&amp;L'!$AO$47</definedName>
    <definedName name="in_pl_detail_amount">'P&amp;L'!$W$51:$W$65</definedName>
    <definedName name="in_pl_detail_mapsto">'P&amp;L'!$X$51:$X$65</definedName>
    <definedName name="out_pl_y1_taxes">'P&amp;L'!$Z$31</definedName>
    <definedName name="out_pl_y1_insurance">'P&amp;L'!$Z$32</definedName>
    <definedName name="out_pl_y1_salaries">'P&amp;L'!$Z$33</definedName>
    <definedName name="out_pl_y1_rm">'P&amp;L'!$Z$34</definedName>
    <definedName name="out_pl_y1_utilities">'P&amp;L'!$Z$38</definedName>
    <definedName name="out_pl_y1_marketing">'P&amp;L'!$Z$44</definedName>
    <definedName name="out_pl_y1_admin">'P&amp;L'!$Z$45</definedName>
    <definedName name="out_pl_y1_mgmt">'P&amp;L'!$Z$46</definedName>
    <definedName name="out_pl_y1_unmapped">'P&amp;L'!$Z$47</definedName>
    <definedName name="out_t12_total_expenses">'P&amp;L'!$U$67</definedName>
    <definedName name="out_pl_y1_total_expenses">'P&amp;L'!$Z$67</definedName>
    <definedName name="out_t12_noi">'P&amp;L'!$U$69</definedName>
    <definedName name="out_pl_y1_noi">'P&amp;L'!$Z$69</definedName>
    <definedName name="out_pl_taxes_t12">'P&amp;L'!$U$31</definedName>
    <definedName name="in_um_tied_to_rr">'UnitMix'!$L$3</definedName>
    <definedName name="in_um_floorplan">'UnitMix'!$B$6:$B$30</definedName>
    <definedName name="in_um_beds">'UnitMix'!$C$6:$C$30</definedName>
    <definedName name="in_um_baths">'UnitMix'!$D$6:$D$30</definedName>
    <definedName name="in_um_avg_sf">'UnitMix'!$E$6:$E$30</definedName>
    <definedName name="in_um_units">'UnitMix'!$F$6:$F$30</definedName>
    <definedName name="in_um_vacant">'UnitMix'!$G$6:$G$30</definedName>
    <definedName name="in_um_inplace_rent">'UnitMix'!$H$6:$H$30</definedName>
    <definedName name="in_um_market_rent">'UnitMix'!$I$6:$I$30</definedName>
    <definedName name="out_um_ltl">'UnitMix'!$J$6:$J$30</definedName>
    <definedName name="out_um_rent_psf">'UnitMix'!$K$6:$K$30</definedName>
    <definedName name="out_um_gpr_annual">'UnitMix'!$L$6:$L$30</definedName>
    <definedName name="out_um_total_units">'UnitMix'!$F$31</definedName>
    <definedName name="out_um_avg_inplace_rent">'UnitMix'!$H$31</definedName>
    <definedName name="out_um_avg_market_rent">'UnitMix'!$I$31</definedName>
    <definedName name="out_um_total_ltl_monthly">'UnitMix'!$J$31</definedName>
    <definedName name="out_um_gpr_inplace_annual">'UnitMix'!$L$31</definedName>
    <definedName name="in_reno_scope">'Renovation'!$B$6:$B$15</definedName>
    <definedName name="out_reno_avail_units">'Renovation'!$C$6:$C$15</definedName>
    <definedName name="in_reno_units">'Renovation'!$D$6:$D$15</definedName>
    <definedName name="in_reno_cost_per_unit">'Renovation'!$E$6:$E$15</definedName>
    <definedName name="out_reno_scope_cost">'Renovation'!$F$6:$F$15</definedName>
    <definedName name="in_reno_start_year">'Renovation'!$G$6:$G$15</definedName>
    <definedName name="in_reno_end_year">'Renovation'!$H$6:$H$15</definedName>
    <definedName name="out_reno_velocity">'Renovation'!$I$6:$I$15</definedName>
    <definedName name="in_reno_downtime_days">'Renovation'!$J$6:$J$15</definedName>
    <definedName name="out_reno_downtime_cost">'Renovation'!$K$6:$K$15</definedName>
    <definedName name="in_reno_premium_mo">'Renovation'!$L$6:$L$15</definedName>
    <definedName name="out_reno_downtime_mo">'Renovation'!$M$6:$M$15</definedName>
    <definedName name="out_reno_premium_annual">'Renovation'!$N$6:$N$15</definedName>
    <definedName name="out_reno_roi">'Renovation'!$O$6:$O$15</definedName>
    <definedName name="in_reno_notes">'Renovation'!$Q$6:$Q$15</definedName>
    <definedName name="out_reno_premium_pct">'Renovation'!$R$6:$R$15</definedName>
    <definedName name="out_reno_total_units">'Renovation'!$D$16</definedName>
    <definedName name="out_reno_total_cost">'Renovation'!$F$16</definedName>
    <definedName name="out_reno_total_premium_annual">'Renovation'!$N$16</definedName>
    <definedName name="out_reno_simple_roi">'Renovation'!$O$16</definedName>
    <definedName name="in_pw_cost">'Renovation'!$C$20:$C$27</definedName>
    <definedName name="in_pw_start">'Renovation'!$D$20:$D$27</definedName>
    <definedName name="in_pw_end">'Renovation'!$E$20:$E$27</definedName>
    <definedName name="out_pw_monthly">'Renovation'!$F$20:$F$27</definedName>
    <definedName name="in_pw_premium_mo">'Renovation'!$H$20:$H$27</definedName>
    <definedName name="out_pw_total_cost">'Renovation'!$C$28</definedName>
    <definedName name="out_capex_total">'Renovation'!$D$31</definedName>
    <definedName name="in_reno_debt_amount">'Renovation'!$D$32</definedName>
    <definedName name="in_reno_debt_rate">'Renovation'!$D$33</definedName>
    <definedName name="out_capex_debt_funded">'Renovation'!$D$34</definedName>
    <definedName name="out_capex_equity_funded">'Renovation'!$D$35</definedName>
    <definedName name="out_reno_program_start_yr">'Renovation'!$D$45</definedName>
    <definedName name="out_reno_program_end_yr">'Renovation'!$D$46</definedName>
    <definedName name="out_reno_program_years">'Renovation'!$D$47</definedName>
    <definedName name="out_reno_capex_per_year">'Renovation'!$D$48</definedName>
    <definedName name="out_reno_downtime_per_year">'Renovation'!$D$49</definedName>
    <definedName name="out_reno_stab_premium">'Renovation'!$D$50</definedName>
    <definedName name="out_debt_senior_start">'Debt'!$J$6</definedName>
    <definedName name="out_debt_senior_payoff">'Debt'!$K$6</definedName>
    <definedName name="out_debt_senior_const">'Debt'!$V$6</definedName>
    <definedName name="out_debt_mezz_start">'Debt'!$J$7</definedName>
    <definedName name="out_debt_mezz_payoff">'Debt'!$K$7</definedName>
    <definedName name="out_debt_mezz_const">'Debt'!$V$7</definedName>
    <definedName name="out_debt_refi_start">'Debt'!$J$8</definedName>
    <definedName name="out_debt_refi_payoff">'Debt'!$K$8</definedName>
    <definedName name="out_debt_refi_const">'Debt'!$V$8</definedName>
    <definedName name="out_debt_c1_start">'Debt'!$J$9</definedName>
    <definedName name="out_debt_c1_payoff">'Debt'!$K$9</definedName>
    <definedName name="out_debt_c1_const">'Debt'!$V$9</definedName>
    <definedName name="out_debt_c2_start">'Debt'!$J$10</definedName>
    <definedName name="out_debt_c2_payoff">'Debt'!$K$10</definedName>
    <definedName name="out_debt_c2_const">'Debt'!$V$10</definedName>
    <definedName name="out_debt_c3_start">'Debt'!$J$11</definedName>
    <definedName name="out_debt_c3_payoff">'Debt'!$K$11</definedName>
    <definedName name="out_debt_c3_const">'Debt'!$V$11</definedName>
    <definedName name="out_debt_renoloc_amount">'Debt'!$D$12</definedName>
    <definedName name="out_debt_renoloc_start">'Debt'!$J$12</definedName>
    <definedName name="out_debt_renoloc_payoff">'Debt'!$K$12</definedName>
    <definedName name="in_wf_gp_equity_pct">'Investor Waterfall'!$C$6</definedName>
    <definedName name="out_wf_lp_equity_pct">'Investor Waterfall'!$C$7</definedName>
    <definedName name="in_wf_mode">'Investor Waterfall'!$C$8</definedName>
    <definedName name="in_wf_pref_rate">'Investor Waterfall'!$C$9</definedName>
    <definedName name="in_wf_pref_type">'Investor Waterfall'!$C$10</definedName>
    <definedName name="in_wf_accrue">'Investor Waterfall'!$C$11</definedName>
    <definedName name="in_wf_catchup">'Investor Waterfall'!$C$12</definedName>
    <definedName name="in_wf_catchup_pct">'Investor Waterfall'!$C$13</definedName>
    <definedName name="in_wf_t2_hurdle">'Investor Waterfall'!$C$14</definedName>
    <definedName name="in_wf_t2_gp">'Investor Waterfall'!$C$15</definedName>
    <definedName name="in_wf_t3_hurdle">'Investor Waterfall'!$C$16</definedName>
    <definedName name="in_wf_t3_gp">'Investor Waterfall'!$C$17</definedName>
    <definedName name="in_wf_t4_hurdle">'Investor Waterfall'!$C$18</definedName>
    <definedName name="in_wf_t4_gp">'Investor Waterfall'!$C$19</definedName>
    <definedName name="in_wf_residual_gp">'Investor Waterfall'!$C$20</definedName>
    <definedName name="in_fee_acq_pct">'Investor Waterfall'!$H$6</definedName>
    <definedName name="in_fee_am_basis">'Investor Waterfall'!$H$7</definedName>
    <definedName name="in_fee_am_rate">'Investor Waterfall'!$H$8</definedName>
    <definedName name="in_fee_am_fixed">'Investor Waterfall'!$H$9</definedName>
    <definedName name="in_fee_dispo_pct">'Investor Waterfall'!$H$10</definedName>
    <definedName name="in_res_replacement_per_unit">'Investor Waterfall'!$H$13</definedName>
    <definedName name="in_res_working_capital">'Investor Waterfall'!$H$14</definedName>
    <definedName name="in_res_ds_months">'Investor Waterfall'!$H$15</definedName>
    <definedName name="in_res_release_at_exit">'Investor Waterfall'!$H$16</definedName>
    <definedName name="in_debt_senior_orig_fee_usd">'Investor Waterfall'!$C$21</definedName>
    <definedName name="in_debt_mezz_orig_fee_usd">'Investor Waterfall'!$D$21</definedName>
    <definedName name="in_debt_refi_orig_fee_usd">'Investor Waterfall'!$E$21</definedName>
    <definedName name="in_debt_c1_orig_fee_usd">'Investor Waterfall'!$F$21</definedName>
    <definedName name="in_debt_c2_orig_fee_usd">'Investor Waterfall'!$G$21</definedName>
    <definedName name="in_debt_c3_orig_fee_usd">'Investor Waterfall'!$H$21</definedName>
    <definedName name="in_debt_senior_exit_fee_pct">'Investor Waterfall'!$C$22</definedName>
    <definedName name="in_debt_mezz_exit_fee_pct">'Investor Waterfall'!$D$22</definedName>
    <definedName name="in_debt_refi_exit_fee_pct">'Investor Waterfall'!$E$22</definedName>
    <definedName name="in_debt_c1_exit_fee_pct">'Investor Waterfall'!$F$22</definedName>
    <definedName name="in_debt_c2_exit_fee_pct">'Investor Waterfall'!$G$22</definedName>
    <definedName name="in_debt_c3_exit_fee_pct">'Investor Waterfall'!$H$22</definedName>
    <definedName name="in_debt_senior_prepay_usd">'Investor Waterfall'!$C$23</definedName>
    <definedName name="in_debt_mezz_prepay_usd">'Investor Waterfall'!$D$23</definedName>
    <definedName name="in_debt_refi_prepay_usd">'Investor Waterfall'!$E$23</definedName>
    <definedName name="in_debt_c1_prepay_usd">'Investor Waterfall'!$F$23</definedName>
    <definedName name="in_debt_c2_prepay_usd">'Investor Waterfall'!$G$23</definedName>
    <definedName name="in_debt_c3_prepay_usd">'Investor Waterfall'!$H$23</definedName>
    <definedName name="in_debt_senior_reno_draw">'Investor Waterfall'!$C$24</definedName>
    <definedName name="in_debt_mezz_reno_draw">'Investor Waterfall'!$D$24</definedName>
    <definedName name="in_debt_refi_reno_draw">'Investor Waterfall'!$E$24</definedName>
    <definedName name="in_debt_c1_reno_draw">'Investor Waterfall'!$F$24</definedName>
    <definedName name="in_debt_c2_reno_draw">'Investor Waterfall'!$G$24</definedName>
    <definedName name="in_debt_c3_reno_draw">'Investor Waterfall'!$H$24</definedName>
    <definedName name="in_debt_senior_int_reserve">'Investor Waterfall'!$C$25</definedName>
    <definedName name="in_debt_mezz_int_reserve">'Investor Waterfall'!$D$25</definedName>
    <definedName name="in_debt_refi_int_reserve">'Investor Waterfall'!$E$25</definedName>
    <definedName name="in_debt_c1_int_reserve">'Investor Waterfall'!$F$25</definedName>
    <definedName name="in_debt_c2_int_reserve">'Investor Waterfall'!$G$25</definedName>
    <definedName name="in_debt_c3_int_reserve">'Investor Waterfall'!$H$25</definedName>
    <definedName name="in_debt_senior_apply_proceeds">'Investor Waterfall'!$C$26</definedName>
    <definedName name="in_debt_mezz_apply_proceeds">'Investor Waterfall'!$D$26</definedName>
    <definedName name="in_debt_refi_apply_proceeds">'Investor Waterfall'!$E$26</definedName>
    <definedName name="in_debt_c1_apply_proceeds">'Investor Waterfall'!$F$26</definedName>
    <definedName name="in_debt_c2_apply_proceeds">'Investor Waterfall'!$G$26</definedName>
    <definedName name="in_debt_c3_apply_proceeds">'Investor Waterfall'!$H$26</definedName>
    <definedName name="out_lp_irr">'Investor Waterfall'!$D$45</definedName>
    <definedName name="out_gp_irr">'Investor Waterfall'!$I$45</definedName>
    <definedName name="out_lp_emx">'Investor Waterfall'!$D$46</definedName>
    <definedName name="out_gp_emx">'Investor Waterfall'!$I$46</definedName>
    <definedName name="out_lp_total_dist">'Investor Waterfall'!$D$47</definedName>
    <definedName name="out_gp_total_dist">'Investor Waterfall'!$I$47</definedName>
    <definedName name="out_lp_simple_return">'Investor Waterfall'!$D$48</definedName>
    <definedName name="out_fee_drag">'Investor Waterfall'!$I$48</definedName>
    <definedName name="in_rcomp_name">'Rent Comps'!$D$6:$K$6</definedName>
    <definedName name="in_rcomp_address">'Rent Comps'!$D$7:$K$7</definedName>
    <definedName name="in_rcomp_distance">'Rent Comps'!$D$8:$K$8</definedName>
    <definedName name="in_rcomp_year_built">'Rent Comps'!$D$9:$K$9</definedName>
    <definedName name="in_rcomp_units">'Rent Comps'!$D$10:$K$10</definedName>
    <definedName name="in_rcomp_avg_sf">'Rent Comps'!$D$11:$K$11</definedName>
    <definedName name="in_rcomp_avg_rent">'Rent Comps'!$D$12:$K$12</definedName>
    <definedName name="in_rcomp_rent_psf">'Rent Comps'!$D$13:$K$13</definedName>
    <definedName name="in_rcomp_occupancy">'Rent Comps'!$D$14:$K$14</definedName>
    <definedName name="in_rcomp_concessions">'Rent Comps'!$D$15:$K$15</definedName>
    <definedName name="in_rcomp_notes">'Rent Comps'!$D$16:$K$16</definedName>
    <definedName name="in_scomp_name">'Sale Comps'!$D$6:$K$6</definedName>
    <definedName name="in_scomp_address">'Sale Comps'!$D$7:$K$7</definedName>
    <definedName name="in_scomp_sale_date">'Sale Comps'!$D$8:$K$8</definedName>
    <definedName name="in_scomp_year_built">'Sale Comps'!$D$9:$K$9</definedName>
    <definedName name="in_scomp_units">'Sale Comps'!$D$10:$K$10</definedName>
    <definedName name="in_scomp_sale_price">'Sale Comps'!$D$11:$K$11</definedName>
    <definedName name="in_scomp_price_per_unit">'Sale Comps'!$D$12:$K$12</definedName>
    <definedName name="in_scomp_price_psf">'Sale Comps'!$D$13:$K$13</definedName>
    <definedName name="in_scomp_cap_rate">'Sale Comps'!$D$14:$K$14</definedName>
    <definedName name="in_scomp_buyer">'Sale Comps'!$D$15:$K$15</definedName>
    <definedName name="in_scomp_notes">'Sale Comps'!$D$16:$K$16</definedName>
    <definedName name="out_og_flow_warning">'OG T12'!$D$4</definedName>
    <definedName name="in_og_map">'OG T12'!$B$7:$B$226</definedName>
    <definedName name="in_og_label">'OG T12'!$C$7:$C$226</definedName>
    <definedName name="in_og_values">'OG T12'!$D$7:$P$226</definedName>
    <definedName name="in_og_dates">'OG T12'!$D$5:$P$5</definedName>
    <definedName name="in_og_annual">'OG T12'!$R$7:$R$226</definedName>
    <definedName name="in_rr_unit_num">'Rent Roll'!$B$6:$B$405</definedName>
    <definedName name="in_rr_floorplan">'Rent Roll'!$C$6:$C$405</definedName>
    <definedName name="in_rr_beds">'Rent Roll'!$D$6:$D$405</definedName>
    <definedName name="in_rr_baths">'Rent Roll'!$E$6:$E$405</definedName>
    <definedName name="in_rr_sf">'Rent Roll'!$F$6:$F$405</definedName>
    <definedName name="in_rr_status">'Rent Roll'!$G$6:$G$405</definedName>
    <definedName name="in_rr_inplace_rent">'Rent Roll'!$H$6:$H$405</definedName>
    <definedName name="out_rr_rent_psf">'Rent Roll'!$I$6:$I$405</definedName>
    <definedName name="in_rr_market_rent">'Rent Roll'!$J$6:$J$405</definedName>
    <definedName name="in_rr_lease_start">'Rent Roll'!$K$6:$K$405</definedName>
    <definedName name="in_rr_mtm">'Rent Roll'!$L$6:$L$405</definedName>
    <definedName name="in_rr_lease_end">'Rent Roll'!$M$6:$M$405</definedName>
    <definedName name="out_rr_lease_end">'Rent Roll'!$N$6:$N$405</definedName>
    <definedName name="in_rr_renovated">'Rent Roll'!$O$6:$O$405</definedName>
    <definedName name="out_rr_inplace_total_monthly">'Rent Roll'!$H$406</definedName>
    <definedName name="out_rr_market_total_monthly">'Rent Roll'!$J$406</definedName>
    <definedName name="out_rr_expiry_schedule">'Rent Roll'!$C$411:$C$434</definedName>
    <definedName name="out_reet_tax">'WA REET Calculation'!$E$24</definedName>
    <definedName name="out_reet_rate">'WA REET Calculation'!$E$26</definedName>
    <definedName name="in_val_cap_spread">'Summary'!$C$37</definedName>
    <definedName name="in_fallback_opex_ratio">'Preferences'!$C$38</definedName>
    <definedName name="in_fallback_avg_rent">'Preferences'!$C$39</definedName>
    <definedName name="in_tax_ai_note">'Preferences'!$C$42</definedName>
    <definedName name="in_transfer_ai_note">'Preferences'!$C$43</definedName>
    <definedName name="in_pref_judgment">'Preferences'!$B$47:$B$58</definedName>
    <definedName name="in_pref_judgment_src">'Preferences'!$C$47:$C$58</definedName>
    <definedName name="tbl_state_tax">'State Tax Rates'!$B$7:$G$57</definedName>
    <definedName name="lst_states">'State Tax Rates'!$B$7:$B$57</definedName>
    <definedName name="lst_yn">'Lists'!$A$3:$A$4</definedName>
    <definedName name="lst_rate_type">'Lists'!$B$3:$B$4</definedName>
    <definedName name="lst_index">'Lists'!$C$3:$C$6</definedName>
    <definedName name="lst_loan_sizing">'Lists'!$D$3:$D$5</definedName>
    <definedName name="lst_loan_type">'Lists'!$E$3:$E$5</definedName>
    <definedName name="lst_calc_type">'Lists'!$F$3:$F$8</definedName>
    <definedName name="lst_am_fee_basis">'Lists'!$G$3:$G$6</definedName>
    <definedName name="lst_wf_mode">'Lists'!$H$3:$H$4</definedName>
    <definedName name="lst_pref_type">'Lists'!$I$3:$I$4</definedName>
    <definedName name="lst_exit_basis">'Lists'!$J$3:$J$4</definedName>
    <definedName name="lst_tax_method">'Lists'!$K$3:$K$5</definedName>
    <definedName name="lst_t12_basis">'Lists'!$L$3:$L$6</definedName>
    <definedName name="lst_growth_basis">'Lists'!$M$3:$M$4</definedName>
    <definedName name="lst_apply_proceeds">'Lists'!$N$3:$N$5</definedName>
    <definedName name="lst_occ_status">'Lists'!$O$3:$O$5</definedName>
    <definedName name="lst_expense_map">'Lists'!$P$3:$P$11</definedName>
    <definedName name="lst_slung_map">'Lists'!$Q$3:$Q$41</definedName>
    <definedName name="_xlnm._FilterDatabase" localSheetId="10" hidden="1">'Rent Roll'!$B$5:$O$405</definedName>
    <definedName name="_xlnm._FilterDatabase" localSheetId="15" hidden="1">'Bridge'!$A$2:$H$847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$#,##0;($#,##0)"/>
    <numFmt numFmtId="165" formatCode="$#,##0.00"/>
    <numFmt numFmtId="166" formatCode="0.00&quot;x&quot;"/>
    <numFmt numFmtId="167" formatCode="0.0%"/>
    <numFmt numFmtId="168" formatCode="#,##0;(#,##0)"/>
    <numFmt numFmtId="169" formatCode="0.0"/>
    <numFmt numFmtId="170" formatCode="$0.00"/>
  </numFmts>
  <fonts count="10">
    <font>
      <name val="Calibri"/>
      <family val="2"/>
      <color theme="1"/>
      <sz val="11"/>
      <scheme val="minor"/>
    </font>
    <font>
      <name val="Calibri"/>
      <color rgb="004164B0"/>
      <sz val="10"/>
      <u val="single"/>
    </font>
    <font>
      <name val="Calibri"/>
      <i val="1"/>
      <color rgb="006B7280"/>
      <sz val="9"/>
    </font>
    <font>
      <name val="Calibri"/>
      <b val="1"/>
      <color rgb="0026251E"/>
      <sz val="16"/>
    </font>
    <font>
      <name val="Calibri"/>
      <b val="1"/>
      <color rgb="00FFFFFF"/>
      <sz val="11"/>
    </font>
    <font>
      <name val="Calibri"/>
      <color rgb="0026251E"/>
      <sz val="10"/>
    </font>
    <font>
      <name val="Calibri"/>
      <b val="1"/>
      <color rgb="004164B0"/>
      <sz val="10"/>
    </font>
    <font>
      <name val="Calibri"/>
      <b val="1"/>
      <color rgb="0026251E"/>
      <sz val="10"/>
    </font>
    <font>
      <name val="Calibri"/>
      <b val="1"/>
      <color rgb="00D96262"/>
      <sz val="10"/>
    </font>
    <font>
      <name val="Calibri"/>
      <b val="1"/>
      <color rgb="0026251E"/>
      <sz val="11"/>
    </font>
  </fonts>
  <fills count="7">
    <fill>
      <patternFill/>
    </fill>
    <fill>
      <patternFill patternType="gray125"/>
    </fill>
    <fill>
      <patternFill patternType="solid">
        <fgColor rgb="004164B0"/>
      </patternFill>
    </fill>
    <fill>
      <patternFill patternType="solid">
        <fgColor rgb="00DDE5ED"/>
      </patternFill>
    </fill>
    <fill>
      <patternFill patternType="solid">
        <fgColor rgb="00C6EFCE"/>
      </patternFill>
    </fill>
    <fill>
      <patternFill patternType="solid">
        <fgColor rgb="00EBEAE5"/>
      </patternFill>
    </fill>
    <fill>
      <patternFill patternType="solid">
        <fgColor rgb="00F2F1ED"/>
      </patternFill>
    </fill>
  </fills>
  <borders count="3">
    <border>
      <left/>
      <right/>
      <top/>
      <bottom/>
      <diagonal/>
    </border>
    <border>
      <left style="thin">
        <color rgb="00EBEAE5"/>
      </left>
      <right style="thin">
        <color rgb="00EBEAE5"/>
      </right>
      <top style="thin">
        <color rgb="00EBEAE5"/>
      </top>
      <bottom style="thin">
        <color rgb="00EBEAE5"/>
      </bottom>
    </border>
    <border>
      <top style="thin">
        <color rgb="0026251E"/>
      </top>
      <bottom style="double">
        <color rgb="0026251E"/>
      </bottom>
    </border>
  </borders>
  <cellStyleXfs count="1">
    <xf numFmtId="0" fontId="0" fillId="0" borderId="0" applyProtection="1">
      <protection locked="0" hidden="0"/>
    </xf>
  </cellStyleXfs>
  <cellXfs count="99">
    <xf numFmtId="0" fontId="0" fillId="0" borderId="0" pivotButton="0" quotePrefix="0" xfId="0"/>
    <xf numFmtId="0" fontId="0" fillId="0" borderId="0" applyProtection="1" pivotButton="0" quotePrefix="0" xfId="0">
      <protection locked="0" hidden="0"/>
    </xf>
    <xf numFmtId="0" fontId="0" fillId="0" borderId="0" applyProtection="1" pivotButton="0" quotePrefix="0" xfId="0">
      <protection locked="1" hidden="1"/>
    </xf>
    <xf numFmtId="0" fontId="2" fillId="0" borderId="0" applyProtection="1" pivotButton="0" quotePrefix="0" xfId="0">
      <protection locked="0" hidden="0"/>
    </xf>
    <xf numFmtId="0" fontId="3" fillId="0" borderId="0" applyProtection="1" pivotButton="0" quotePrefix="0" xfId="0">
      <protection locked="0" hidden="0"/>
    </xf>
    <xf numFmtId="0" fontId="1" fillId="0" borderId="0" applyProtection="1" pivotButton="0" quotePrefix="0" xfId="0">
      <protection locked="0" hidden="0"/>
    </xf>
    <xf numFmtId="0" fontId="4" fillId="2" borderId="0" applyProtection="1" pivotButton="0" quotePrefix="0" xfId="0">
      <protection locked="0" hidden="0"/>
    </xf>
    <xf numFmtId="0" fontId="0" fillId="2" borderId="0" applyProtection="1" pivotButton="0" quotePrefix="0" xfId="0">
      <protection locked="0" hidden="0"/>
    </xf>
    <xf numFmtId="0" fontId="5" fillId="0" borderId="0" applyProtection="1" pivotButton="0" quotePrefix="0" xfId="0">
      <protection locked="0" hidden="0"/>
    </xf>
    <xf numFmtId="49" fontId="6" fillId="3" borderId="1" applyProtection="1" pivotButton="0" quotePrefix="0" xfId="0">
      <protection locked="0" hidden="0"/>
    </xf>
    <xf numFmtId="164" fontId="6" fillId="3" borderId="1" applyProtection="1" pivotButton="0" quotePrefix="0" xfId="0">
      <protection locked="0" hidden="0"/>
    </xf>
    <xf numFmtId="10" fontId="5" fillId="0" borderId="0" applyProtection="1" pivotButton="0" quotePrefix="0" xfId="0">
      <protection locked="0" hidden="0"/>
    </xf>
    <xf numFmtId="164" fontId="5" fillId="0" borderId="0" applyProtection="1" pivotButton="0" quotePrefix="0" xfId="0">
      <protection locked="0" hidden="0"/>
    </xf>
    <xf numFmtId="10" fontId="6" fillId="3" borderId="1" applyProtection="1" pivotButton="0" quotePrefix="0" xfId="0">
      <protection locked="0" hidden="0"/>
    </xf>
    <xf numFmtId="1" fontId="6" fillId="3" borderId="1" applyProtection="1" pivotButton="0" quotePrefix="0" xfId="0">
      <protection locked="0" hidden="0"/>
    </xf>
    <xf numFmtId="164" fontId="2" fillId="0" borderId="0" applyProtection="1" pivotButton="0" quotePrefix="0" xfId="0">
      <protection locked="0" hidden="0"/>
    </xf>
    <xf numFmtId="164" fontId="5" fillId="0" borderId="1" applyProtection="1" pivotButton="0" quotePrefix="0" xfId="0">
      <protection locked="0" hidden="0"/>
    </xf>
    <xf numFmtId="0" fontId="7" fillId="0" borderId="0" applyProtection="1" pivotButton="0" quotePrefix="0" xfId="0">
      <protection locked="0" hidden="0"/>
    </xf>
    <xf numFmtId="164" fontId="7" fillId="0" borderId="2" applyProtection="1" pivotButton="0" quotePrefix="0" xfId="0">
      <protection locked="0" hidden="0"/>
    </xf>
    <xf numFmtId="3" fontId="6" fillId="3" borderId="1" applyProtection="1" pivotButton="0" quotePrefix="0" xfId="0">
      <protection locked="0" hidden="0"/>
    </xf>
    <xf numFmtId="165" fontId="2" fillId="0" borderId="0" applyProtection="1" pivotButton="0" quotePrefix="0" xfId="0">
      <protection locked="0" hidden="0"/>
    </xf>
    <xf numFmtId="164" fontId="5" fillId="0" borderId="2" applyProtection="1" pivotButton="0" quotePrefix="0" xfId="0">
      <protection locked="0" hidden="0"/>
    </xf>
    <xf numFmtId="0" fontId="7" fillId="0" borderId="0" applyAlignment="1" applyProtection="1" pivotButton="0" quotePrefix="0" xfId="0">
      <alignment horizontal="center" vertical="center"/>
      <protection locked="0" hidden="0"/>
    </xf>
    <xf numFmtId="10" fontId="7" fillId="5" borderId="0" applyProtection="1" pivotButton="0" quotePrefix="0" xfId="0">
      <protection locked="0" hidden="0"/>
    </xf>
    <xf numFmtId="14" fontId="5" fillId="0" borderId="0" applyProtection="1" pivotButton="0" quotePrefix="0" xfId="0">
      <protection locked="0" hidden="0"/>
    </xf>
    <xf numFmtId="166" fontId="7" fillId="5" borderId="0" applyProtection="1" pivotButton="0" quotePrefix="0" xfId="0">
      <protection locked="0" hidden="0"/>
    </xf>
    <xf numFmtId="164" fontId="7" fillId="5" borderId="0" applyProtection="1" pivotButton="0" quotePrefix="0" xfId="0">
      <protection locked="0" hidden="0"/>
    </xf>
    <xf numFmtId="49" fontId="5" fillId="4" borderId="0" applyProtection="1" pivotButton="0" quotePrefix="0" xfId="0">
      <protection locked="0" hidden="0"/>
    </xf>
    <xf numFmtId="167" fontId="7" fillId="5" borderId="0" applyProtection="1" pivotButton="0" quotePrefix="0" xfId="0">
      <protection locked="0" hidden="0"/>
    </xf>
    <xf numFmtId="0" fontId="6" fillId="3" borderId="1" applyProtection="1" pivotButton="0" quotePrefix="0" xfId="0">
      <protection locked="0" hidden="0"/>
    </xf>
    <xf numFmtId="0" fontId="0" fillId="0" borderId="1" applyProtection="1" pivotButton="0" quotePrefix="0" xfId="0">
      <protection locked="0" hidden="0"/>
    </xf>
    <xf numFmtId="9" fontId="7" fillId="5" borderId="0" applyProtection="1" pivotButton="0" quotePrefix="0" xfId="0">
      <protection locked="0" hidden="0"/>
    </xf>
    <xf numFmtId="9" fontId="6" fillId="3" borderId="1" applyProtection="1" pivotButton="0" quotePrefix="0" xfId="0">
      <protection locked="0" hidden="0"/>
    </xf>
    <xf numFmtId="166" fontId="6" fillId="3" borderId="1" applyProtection="1" pivotButton="0" quotePrefix="0" xfId="0">
      <protection locked="0" hidden="0"/>
    </xf>
    <xf numFmtId="0" fontId="2" fillId="0" borderId="0" applyAlignment="1" applyProtection="1" pivotButton="0" quotePrefix="0" xfId="0">
      <alignment horizontal="center" vertical="center"/>
      <protection locked="0" hidden="0"/>
    </xf>
    <xf numFmtId="167" fontId="6" fillId="3" borderId="1" applyProtection="1" pivotButton="0" quotePrefix="0" xfId="0">
      <protection locked="0" hidden="0"/>
    </xf>
    <xf numFmtId="167" fontId="0" fillId="0" borderId="0" applyProtection="1" pivotButton="0" quotePrefix="0" xfId="0">
      <protection locked="0" hidden="0"/>
    </xf>
    <xf numFmtId="49" fontId="5" fillId="0" borderId="0" applyProtection="1" pivotButton="0" quotePrefix="0" xfId="0">
      <protection locked="0" hidden="0"/>
    </xf>
    <xf numFmtId="168" fontId="0" fillId="0" borderId="0" applyProtection="1" pivotButton="0" quotePrefix="0" xfId="0">
      <protection locked="0" hidden="0"/>
    </xf>
    <xf numFmtId="168" fontId="7" fillId="0" borderId="0" applyProtection="1" pivotButton="0" quotePrefix="0" xfId="0">
      <protection locked="0" hidden="0"/>
    </xf>
    <xf numFmtId="168" fontId="7" fillId="0" borderId="2" applyProtection="1" pivotButton="0" quotePrefix="0" xfId="0">
      <protection locked="0" hidden="0"/>
    </xf>
    <xf numFmtId="10" fontId="0" fillId="0" borderId="0" applyProtection="1" pivotButton="0" quotePrefix="0" xfId="0">
      <protection locked="0" hidden="0"/>
    </xf>
    <xf numFmtId="166" fontId="0" fillId="0" borderId="0" applyProtection="1" pivotButton="0" quotePrefix="0" xfId="0">
      <protection locked="0" hidden="0"/>
    </xf>
    <xf numFmtId="168" fontId="7" fillId="5" borderId="0" applyProtection="1" pivotButton="0" quotePrefix="0" xfId="0">
      <protection locked="0" hidden="0"/>
    </xf>
    <xf numFmtId="2" fontId="7" fillId="5" borderId="0" applyProtection="1" pivotButton="0" quotePrefix="0" xfId="0">
      <protection locked="0" hidden="0"/>
    </xf>
    <xf numFmtId="14" fontId="6" fillId="3" borderId="1" applyProtection="1" pivotButton="0" quotePrefix="0" xfId="0">
      <protection locked="0" hidden="0"/>
    </xf>
    <xf numFmtId="0" fontId="8" fillId="0" borderId="0" applyProtection="1" pivotButton="0" quotePrefix="0" xfId="0">
      <protection locked="0" hidden="0"/>
    </xf>
    <xf numFmtId="17" fontId="7" fillId="0" borderId="0" applyAlignment="1" applyProtection="1" pivotButton="0" quotePrefix="0" xfId="0">
      <alignment horizontal="center" vertical="center"/>
      <protection locked="0" hidden="0"/>
    </xf>
    <xf numFmtId="49" fontId="6" fillId="3" borderId="1" applyAlignment="1" applyProtection="1" pivotButton="0" quotePrefix="0" xfId="0">
      <alignment horizontal="center" vertical="center"/>
      <protection locked="0" hidden="0"/>
    </xf>
    <xf numFmtId="49" fontId="7" fillId="0" borderId="0" applyAlignment="1" applyProtection="1" pivotButton="0" quotePrefix="0" xfId="0">
      <alignment horizontal="center" vertical="center"/>
      <protection locked="0" hidden="0"/>
    </xf>
    <xf numFmtId="49" fontId="7" fillId="3" borderId="1" applyAlignment="1" applyProtection="1" pivotButton="0" quotePrefix="0" xfId="0">
      <alignment horizontal="center" vertical="center"/>
      <protection locked="0" hidden="0"/>
    </xf>
    <xf numFmtId="168" fontId="5" fillId="0" borderId="0" applyProtection="1" pivotButton="0" quotePrefix="0" xfId="0">
      <protection locked="0" hidden="0"/>
    </xf>
    <xf numFmtId="168" fontId="6" fillId="3" borderId="1" applyProtection="1" pivotButton="0" quotePrefix="0" xfId="0">
      <protection locked="0" hidden="0"/>
    </xf>
    <xf numFmtId="168" fontId="2" fillId="0" borderId="0" applyProtection="1" pivotButton="0" quotePrefix="0" xfId="0">
      <protection locked="0" hidden="0"/>
    </xf>
    <xf numFmtId="168" fontId="5" fillId="3" borderId="1" applyProtection="1" pivotButton="0" quotePrefix="0" xfId="0">
      <protection locked="0" hidden="0"/>
    </xf>
    <xf numFmtId="168" fontId="7" fillId="5" borderId="2" applyProtection="1" pivotButton="0" quotePrefix="0" xfId="0">
      <protection locked="0" hidden="0"/>
    </xf>
    <xf numFmtId="169" fontId="6" fillId="3" borderId="1" applyProtection="1" pivotButton="0" quotePrefix="0" xfId="0">
      <protection locked="0" hidden="0"/>
    </xf>
    <xf numFmtId="2" fontId="5" fillId="0" borderId="0" applyProtection="1" pivotButton="0" quotePrefix="0" xfId="0">
      <protection locked="0" hidden="0"/>
    </xf>
    <xf numFmtId="49" fontId="7" fillId="5" borderId="2" applyProtection="1" pivotButton="0" quotePrefix="0" xfId="0">
      <protection locked="0" hidden="0"/>
    </xf>
    <xf numFmtId="1" fontId="7" fillId="5" borderId="2" applyProtection="1" pivotButton="0" quotePrefix="0" xfId="0">
      <protection locked="0" hidden="0"/>
    </xf>
    <xf numFmtId="169" fontId="7" fillId="5" borderId="2" applyProtection="1" pivotButton="0" quotePrefix="0" xfId="0">
      <protection locked="0" hidden="0"/>
    </xf>
    <xf numFmtId="3" fontId="7" fillId="5" borderId="2" applyProtection="1" pivotButton="0" quotePrefix="0" xfId="0">
      <protection locked="0" hidden="0"/>
    </xf>
    <xf numFmtId="164" fontId="7" fillId="5" borderId="2" applyProtection="1" pivotButton="0" quotePrefix="0" xfId="0">
      <protection locked="0" hidden="0"/>
    </xf>
    <xf numFmtId="2" fontId="7" fillId="5" borderId="2" applyProtection="1" pivotButton="0" quotePrefix="0" xfId="0">
      <protection locked="0" hidden="0"/>
    </xf>
    <xf numFmtId="0" fontId="7" fillId="0" borderId="0" applyAlignment="1" applyProtection="1" pivotButton="0" quotePrefix="0" xfId="0">
      <alignment horizontal="center" vertical="center" wrapText="1"/>
      <protection locked="0" hidden="0"/>
    </xf>
    <xf numFmtId="1" fontId="5" fillId="0" borderId="0" applyProtection="1" pivotButton="0" quotePrefix="0" xfId="0">
      <protection locked="1" hidden="1"/>
    </xf>
    <xf numFmtId="169" fontId="5" fillId="0" borderId="0" applyProtection="1" pivotButton="0" quotePrefix="0" xfId="0">
      <protection locked="0" hidden="0"/>
    </xf>
    <xf numFmtId="167" fontId="5" fillId="0" borderId="0" applyProtection="1" pivotButton="0" quotePrefix="0" xfId="0">
      <protection locked="0" hidden="0"/>
    </xf>
    <xf numFmtId="1" fontId="5" fillId="0" borderId="0" applyProtection="1" pivotButton="0" quotePrefix="0" xfId="0">
      <protection locked="0" hidden="0"/>
    </xf>
    <xf numFmtId="167" fontId="7" fillId="5" borderId="2" applyProtection="1" pivotButton="0" quotePrefix="0" xfId="0">
      <protection locked="0" hidden="0"/>
    </xf>
    <xf numFmtId="3" fontId="7" fillId="5" borderId="0" applyProtection="1" pivotButton="0" quotePrefix="0" xfId="0">
      <protection locked="0" hidden="0"/>
    </xf>
    <xf numFmtId="1" fontId="7" fillId="5" borderId="0" applyProtection="1" pivotButton="0" quotePrefix="0" xfId="0">
      <protection locked="0" hidden="0"/>
    </xf>
    <xf numFmtId="164" fontId="0" fillId="0" borderId="0" applyProtection="1" pivotButton="0" quotePrefix="0" xfId="0">
      <protection locked="0" hidden="0"/>
    </xf>
    <xf numFmtId="9" fontId="5" fillId="0" borderId="0" applyProtection="1" pivotButton="0" quotePrefix="0" xfId="0">
      <protection locked="0" hidden="0"/>
    </xf>
    <xf numFmtId="49" fontId="7" fillId="5" borderId="0" applyProtection="1" pivotButton="0" quotePrefix="0" xfId="0">
      <protection locked="0" hidden="0"/>
    </xf>
    <xf numFmtId="2" fontId="6" fillId="3" borderId="1" applyProtection="1" pivotButton="0" quotePrefix="0" xfId="0">
      <protection locked="0" hidden="0"/>
    </xf>
    <xf numFmtId="3" fontId="5" fillId="0" borderId="0" applyProtection="1" pivotButton="0" quotePrefix="0" xfId="0">
      <protection locked="0" hidden="0"/>
    </xf>
    <xf numFmtId="170" fontId="5" fillId="0" borderId="0" applyProtection="1" pivotButton="0" quotePrefix="0" xfId="0">
      <protection locked="0" hidden="0"/>
    </xf>
    <xf numFmtId="170" fontId="6" fillId="3" borderId="1" applyProtection="1" pivotButton="0" quotePrefix="0" xfId="0">
      <protection locked="0" hidden="0"/>
    </xf>
    <xf numFmtId="170" fontId="7" fillId="5" borderId="0" applyProtection="1" pivotButton="0" quotePrefix="0" xfId="0">
      <protection locked="0" hidden="0"/>
    </xf>
    <xf numFmtId="165" fontId="5" fillId="0" borderId="0" applyProtection="1" pivotButton="0" quotePrefix="0" xfId="0">
      <protection locked="0" hidden="0"/>
    </xf>
    <xf numFmtId="17" fontId="0" fillId="0" borderId="0" applyProtection="1" pivotButton="0" quotePrefix="0" xfId="0">
      <protection locked="0" hidden="0"/>
    </xf>
    <xf numFmtId="0" fontId="9" fillId="0" borderId="0" applyProtection="1" pivotButton="0" quotePrefix="0" xfId="0">
      <protection locked="0" hidden="0"/>
    </xf>
    <xf numFmtId="43" fontId="5" fillId="0" borderId="0" applyProtection="1" pivotButton="0" quotePrefix="0" xfId="0">
      <protection locked="0" hidden="0"/>
    </xf>
    <xf numFmtId="165" fontId="7" fillId="5" borderId="0" applyProtection="1" pivotButton="0" quotePrefix="0" xfId="0">
      <protection locked="0" hidden="0"/>
    </xf>
    <xf numFmtId="166" fontId="5" fillId="0" borderId="0" applyProtection="1" pivotButton="0" quotePrefix="0" xfId="0">
      <protection locked="0" hidden="0"/>
    </xf>
    <xf numFmtId="0" fontId="9" fillId="6" borderId="0" applyProtection="1" pivotButton="0" quotePrefix="0" xfId="0">
      <protection locked="0" hidden="0"/>
    </xf>
    <xf numFmtId="0" fontId="0" fillId="6" borderId="0" applyProtection="1" pivotButton="0" quotePrefix="0" xfId="0">
      <protection locked="0" hidden="0"/>
    </xf>
    <xf numFmtId="0" fontId="0" fillId="0" borderId="0" applyAlignment="1" applyProtection="1" pivotButton="0" quotePrefix="0" xfId="0">
      <alignment horizontal="center" vertical="center"/>
      <protection locked="0" hidden="0"/>
    </xf>
    <xf numFmtId="9" fontId="0" fillId="0" borderId="0" applyAlignment="1" applyProtection="1" pivotButton="0" quotePrefix="0" xfId="0">
      <alignment horizontal="center" vertical="center"/>
      <protection locked="0" hidden="0"/>
    </xf>
    <xf numFmtId="0" fontId="7" fillId="6" borderId="0" applyProtection="1" pivotButton="0" quotePrefix="0" xfId="0">
      <protection locked="0" hidden="0"/>
    </xf>
    <xf numFmtId="10" fontId="0" fillId="6" borderId="0" applyProtection="1" pivotButton="0" quotePrefix="0" xfId="0">
      <protection locked="0" hidden="0"/>
    </xf>
    <xf numFmtId="0" fontId="0" fillId="6" borderId="0" applyAlignment="1" applyProtection="1" pivotButton="0" quotePrefix="0" xfId="0">
      <alignment horizontal="center" vertical="center"/>
      <protection locked="0" hidden="0"/>
    </xf>
    <xf numFmtId="9" fontId="0" fillId="6" borderId="0" applyAlignment="1" applyProtection="1" pivotButton="0" quotePrefix="0" xfId="0">
      <alignment horizontal="center" vertical="center"/>
      <protection locked="0" hidden="0"/>
    </xf>
    <xf numFmtId="0" fontId="2" fillId="6" borderId="0" applyProtection="1" pivotButton="0" quotePrefix="0" xfId="0">
      <protection locked="0" hidden="0"/>
    </xf>
    <xf numFmtId="0" fontId="2" fillId="0" borderId="0" pivotButton="0" quotePrefix="0" xfId="0"/>
    <xf numFmtId="0" fontId="7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4">
    <dxf>
      <font>
        <name val="Calibri"/>
        <i val="1"/>
        <color rgb="00A8A7A1"/>
        <sz val="10"/>
      </font>
      <fill>
        <patternFill patternType="solid">
          <bgColor rgb="00EBEAE5"/>
        </patternFill>
      </fill>
    </dxf>
    <dxf>
      <fill>
        <patternFill patternType="solid">
          <bgColor rgb="00C6EFCE"/>
        </patternFill>
      </fill>
    </dxf>
    <dxf>
      <fill>
        <patternFill patternType="solid">
          <fgColor rgb="00DCFCE7"/>
        </patternFill>
      </fill>
    </dxf>
    <dxf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styles" Target="styles.xml" Id="rId18"/><Relationship Type="http://schemas.openxmlformats.org/officeDocument/2006/relationships/theme" Target="theme/theme1.xml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/Relationships>
</file>

<file path=xl/worksheets/_rels/sheet2.xml.rels><Relationships xmlns="http://schemas.openxmlformats.org/package/2006/relationships"></Relationships>
</file>

<file path=xl/worksheets/_rels/sheet3.xml.rels><Relationships xmlns="http://schemas.openxmlformats.org/package/2006/relationships"></Relationships>
</file>

<file path=xl/worksheets/_rels/sheet4.xml.rels><Relationships xmlns="http://schemas.openxmlformats.org/package/2006/relationships"></Relationships>
</file>

<file path=xl/worksheets/_rels/sheet5.xml.rels><Relationships xmlns="http://schemas.openxmlformats.org/package/2006/relationships"></Relationships>
</file>

<file path=xl/worksheets/_rels/sheet6.xml.rels><Relationships xmlns="http://schemas.openxmlformats.org/package/2006/relationships"></Relationships>
</file>

<file path=xl/worksheets/_rels/sheet7.xml.rels><Relationships xmlns="http://schemas.openxmlformats.org/package/2006/relationships"></Relationships>
</file>

<file path=xl/worksheets/_rels/sheet8.xml.rels><Relationships xmlns="http://schemas.openxmlformats.org/package/2006/relationships"></Relationships>
</file>

<file path=xl/worksheets/_rels/sheet9.xml.rels><Relationships xmlns="http://schemas.openxmlformats.org/package/2006/relationships"></Relationships>
</file>

<file path=xl/worksheets/_rels/sheet10.xml.rels><Relationships xmlns="http://schemas.openxmlformats.org/package/2006/relationships"></Relationships>
</file>

<file path=xl/worksheets/_rels/sheet11.xml.rels><Relationships xmlns="http://schemas.openxmlformats.org/package/2006/relationships"></Relationships>
</file>

<file path=xl/worksheets/_rels/sheet13.xml.rels><Relationships xmlns="http://schemas.openxmlformats.org/package/2006/relationships"></Relationships>
</file>

<file path=xl/worksheets/_rels/sheet14.xml.rels><Relationships xmlns="http://schemas.openxmlformats.org/package/2006/relationships"></Relationships>
</file>

<file path=xl/worksheets/_rels/sheet15.xml.rels><Relationships xmlns="http://schemas.openxmlformats.org/package/2006/relationships"></Relationships>
</file>

<file path=xl/worksheets/sheet1.xml><?xml version="1.0" encoding="utf-8"?>
<worksheet xmlns="http://schemas.openxmlformats.org/spreadsheetml/2006/main">
  <sheetPr>
    <tabColor rgb="004164B0"/>
    <outlinePr summaryBelow="0" summaryRight="1"/>
    <pageSetUpPr/>
  </sheetPr>
  <dimension ref="A1:T7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 outlineLevelCol="0"/>
  <cols>
    <col width="2" customWidth="1" style="1" min="1" max="1"/>
    <col width="34" customWidth="1" style="1" min="2" max="2"/>
    <col width="14" customWidth="1" style="1" min="3" max="3"/>
    <col width="14" customWidth="1" style="1" min="4" max="4"/>
    <col width="14" customWidth="1" style="1" min="5" max="5"/>
    <col width="14" customWidth="1" style="1" min="6" max="6"/>
    <col width="14" customWidth="1" style="1" min="7" max="7"/>
    <col width="14" customWidth="1" style="1" min="8" max="8"/>
    <col width="14" customWidth="1" style="1" min="9" max="9"/>
    <col width="14" customWidth="1" style="1" min="10" max="10"/>
    <col width="26" customWidth="1" style="1" min="11" max="11"/>
    <col width="14" customWidth="1" style="1" min="12" max="12"/>
    <col width="14" customWidth="1" style="1" min="13" max="13"/>
    <col width="14" customWidth="1" style="1" min="14" max="14"/>
    <col width="13" customWidth="1" style="1" min="15" max="15"/>
    <col width="13" customWidth="1" style="1" min="16" max="16"/>
    <col width="13" customWidth="1" style="1" min="17" max="17"/>
    <col width="13" customWidth="1" style="1" min="18" max="18"/>
    <col hidden="1" width="13" customWidth="1" style="1" min="19" max="19"/>
    <col hidden="1" width="13" customWidth="1" style="1" min="20" max="20"/>
    <col width="13" customWidth="1" style="1" min="21" max="21"/>
    <col width="13" customWidth="1" style="1" min="22" max="22"/>
    <col width="13" customWidth="1" style="1" min="23" max="23"/>
    <col width="13" customWidth="1" style="1" min="24" max="24"/>
    <col width="13" customWidth="1" style="1" min="25" max="25"/>
    <col width="13" customWidth="1" style="1" min="26" max="26"/>
    <col width="13" customWidth="1" style="1" min="27" max="27"/>
    <col width="13" customWidth="1" style="1" min="28" max="28"/>
    <col width="13" customWidth="1" style="1" min="29" max="29"/>
    <col width="13" customWidth="1" style="1" min="30" max="30"/>
    <col width="13" customWidth="1" style="1" min="31" max="31"/>
    <col width="13" customWidth="1" style="1" min="32" max="32"/>
    <col width="13" customWidth="1" style="1" min="33" max="33"/>
    <col width="13" customWidth="1" style="1" min="34" max="34"/>
    <col width="13" customWidth="1" style="1" min="35" max="35"/>
    <col width="13" customWidth="1" style="1" min="36" max="36"/>
    <col width="13" customWidth="1" style="1" min="37" max="37"/>
    <col width="13" customWidth="1" style="1" min="38" max="38"/>
    <col width="13" customWidth="1" style="1" min="39" max="39"/>
    <col width="13" customWidth="1" style="1" min="40" max="40"/>
    <col width="13" customWidth="1" style="1" min="41" max="41"/>
    <col width="13" customWidth="1" style="1" min="42" max="42"/>
    <col width="13" customWidth="1" style="1" min="43" max="43"/>
    <col width="13" customWidth="1" style="1" min="44" max="44"/>
    <col width="13" customWidth="1" style="1" min="45" max="45"/>
    <col width="13" customWidth="1" style="1" min="46" max="46"/>
    <col width="13" customWidth="1" style="1" min="47" max="47"/>
    <col width="13" customWidth="1" style="1" min="48" max="48"/>
    <col width="13" customWidth="1" style="1" min="49" max="49"/>
  </cols>
  <sheetData>
    <row r="1" ht="46" customHeight="1">
      <c r="A1" s="1" t="n"/>
      <c r="B1" s="2" t="n"/>
      <c r="C1" s="1" t="n"/>
      <c r="D1" s="3">
        <f>IF('Summary &amp; Assumptions'!$C$6="",IFERROR(LEFT('Summary &amp; Assumptions'!$C$7,FIND(",",'Summary &amp; Assumptions'!$C$7)-1),'Summary &amp; Assumptions'!$C$7),'Summary &amp; Assumptions'!$C$6)&amp;", "&amp;'Summary &amp; Assumptions'!$C$8&amp;", "&amp;'Summary &amp; Assumptions'!$C$9&amp;" - "&amp;'Summary &amp; Assumptions'!$C$11&amp;" Units - Built in "&amp;'Summary &amp; Assumptions'!$C$12</f>
        <v/>
      </c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</row>
    <row r="2">
      <c r="A2" s="1" t="n"/>
      <c r="B2" s="4" t="inlineStr">
        <is>
          <t>Summary</t>
        </is>
      </c>
      <c r="C2" s="1" t="n"/>
      <c r="D2" s="5" t="inlineStr">
        <is>
          <t>View Dashboard on Slung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</row>
    <row r="3">
      <c r="A3" s="1" t="n"/>
      <c r="B3" s="3" t="inlineStr">
        <is>
          <t>Blue cells are inputs. Expand +/− groups for advanced detail.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</row>
    <row r="5">
      <c r="A5" s="1" t="n"/>
      <c r="B5" s="6" t="inlineStr">
        <is>
          <t>Property Overview</t>
        </is>
      </c>
      <c r="C5" s="7" t="n"/>
      <c r="D5" s="1" t="n"/>
      <c r="E5" s="1" t="n"/>
      <c r="F5" s="6" t="inlineStr">
        <is>
          <t>Acquisition</t>
        </is>
      </c>
      <c r="G5" s="7" t="n"/>
      <c r="H5" s="7" t="n"/>
      <c r="I5" s="7" t="n"/>
      <c r="J5" s="1" t="n"/>
      <c r="K5" s="6" t="inlineStr">
        <is>
          <t>Exit &amp; Disposition</t>
        </is>
      </c>
      <c r="L5" s="7" t="n"/>
      <c r="M5" s="7" t="n"/>
      <c r="N5" s="7" t="n"/>
      <c r="O5" s="1" t="n"/>
      <c r="P5" s="1" t="n"/>
      <c r="Q5" s="1" t="n"/>
      <c r="R5" s="1" t="n"/>
      <c r="S5" s="1" t="n"/>
      <c r="T5" s="1" t="n"/>
    </row>
    <row r="6">
      <c r="A6" s="1" t="n"/>
      <c r="B6" s="8" t="inlineStr">
        <is>
          <t>Name</t>
        </is>
      </c>
      <c r="C6" s="9" t="n"/>
      <c r="D6" s="1" t="n"/>
      <c r="E6" s="1" t="n"/>
      <c r="F6" s="8" t="inlineStr">
        <is>
          <t>Purchase Price</t>
        </is>
      </c>
      <c r="G6" s="1" t="n"/>
      <c r="H6" s="10">
        <f>IFERROR('P&amp;L'!$Z$69/0.055,0)</f>
        <v/>
      </c>
      <c r="I6" s="1" t="n"/>
      <c r="J6" s="1" t="n"/>
      <c r="K6" s="8" t="inlineStr">
        <is>
          <t>Exit Valuation Basis</t>
        </is>
      </c>
      <c r="L6" s="1" t="n"/>
      <c r="M6" s="9" t="inlineStr">
        <is>
          <t>Forward NOI</t>
        </is>
      </c>
      <c r="N6" s="1" t="n"/>
      <c r="O6" s="1" t="n"/>
      <c r="P6" s="1" t="n"/>
      <c r="Q6" s="1" t="n"/>
      <c r="R6" s="1" t="n"/>
      <c r="S6" s="1" t="n"/>
      <c r="T6" s="1" t="n"/>
    </row>
    <row r="7">
      <c r="A7" s="1" t="n"/>
      <c r="B7" s="8" t="inlineStr">
        <is>
          <t>Address</t>
        </is>
      </c>
      <c r="C7" s="9" t="n"/>
      <c r="D7" s="1" t="n"/>
      <c r="E7" s="1" t="n"/>
      <c r="F7" s="8" t="inlineStr">
        <is>
          <t>Going-in Cap Rate (Selected NOI)</t>
        </is>
      </c>
      <c r="G7" s="1" t="n"/>
      <c r="H7" s="11">
        <f>IFERROR(CashFlow!$D$57,0)</f>
        <v/>
      </c>
      <c r="I7" s="1" t="n"/>
      <c r="J7" s="1" t="n"/>
      <c r="K7" s="8" t="inlineStr">
        <is>
          <t>Exit Year NOI (per basis)</t>
        </is>
      </c>
      <c r="L7" s="1" t="n"/>
      <c r="M7" s="12">
        <f>IF('Summary &amp; Assumptions'!$M$6="Forward NOI",'CashFlow'!$D$61,'CashFlow'!$D$62)</f>
        <v/>
      </c>
      <c r="N7" s="1" t="n"/>
      <c r="O7" s="1" t="n"/>
      <c r="P7" s="1" t="n"/>
      <c r="Q7" s="1" t="n"/>
      <c r="R7" s="1" t="n"/>
      <c r="S7" s="1" t="n"/>
      <c r="T7" s="1" t="n"/>
    </row>
    <row r="8">
      <c r="A8" s="1" t="n"/>
      <c r="B8" s="8" t="inlineStr">
        <is>
          <t>City</t>
        </is>
      </c>
      <c r="C8" s="9" t="n"/>
      <c r="D8" s="1" t="n"/>
      <c r="E8" s="1" t="n"/>
      <c r="F8" s="8" t="inlineStr">
        <is>
          <t>Operating Reserve (% of price)</t>
        </is>
      </c>
      <c r="G8" s="1" t="n"/>
      <c r="H8" s="13" t="n">
        <v>0.01</v>
      </c>
      <c r="I8" s="12">
        <f>'Summary &amp; Assumptions'!$H$8*'Summary &amp; Assumptions'!$H$6</f>
        <v/>
      </c>
      <c r="J8" s="1" t="n"/>
      <c r="K8" s="8" t="inlineStr">
        <is>
          <t>Exit Cap Rate | Exit Price</t>
        </is>
      </c>
      <c r="L8" s="1" t="n"/>
      <c r="M8" s="13" t="n">
        <v>0.0525</v>
      </c>
      <c r="N8" s="12">
        <f>IFERROR('Summary &amp; Assumptions'!$M$7/'Summary &amp; Assumptions'!$M$8,0)</f>
        <v/>
      </c>
      <c r="O8" s="1" t="n"/>
      <c r="P8" s="1" t="n"/>
      <c r="Q8" s="1" t="n"/>
      <c r="R8" s="1" t="n"/>
      <c r="S8" s="1" t="n"/>
      <c r="T8" s="1" t="n"/>
    </row>
    <row r="9">
      <c r="A9" s="1" t="n"/>
      <c r="B9" s="8" t="inlineStr">
        <is>
          <t>State</t>
        </is>
      </c>
      <c r="C9" s="9" t="n"/>
      <c r="D9" s="1" t="n"/>
      <c r="E9" s="1" t="n"/>
      <c r="F9" s="8" t="inlineStr">
        <is>
          <t>Legal Fees</t>
        </is>
      </c>
      <c r="G9" s="1" t="n"/>
      <c r="H9" s="10" t="n">
        <v>10000</v>
      </c>
      <c r="I9" s="1" t="n"/>
      <c r="J9" s="1" t="n"/>
      <c r="K9" s="8" t="inlineStr">
        <is>
          <t>Selling Costs (% of price)</t>
        </is>
      </c>
      <c r="L9" s="1" t="n"/>
      <c r="M9" s="13" t="n">
        <v>0.005</v>
      </c>
      <c r="N9" s="12">
        <f>-'Summary &amp; Assumptions'!$M$9*'Summary &amp; Assumptions'!$N$8</f>
        <v/>
      </c>
      <c r="O9" s="1" t="n"/>
      <c r="P9" s="1" t="n"/>
      <c r="Q9" s="1" t="n"/>
      <c r="R9" s="1" t="n"/>
      <c r="S9" s="3" t="inlineStr">
        <is>
          <t>Additional #2 (advanced)</t>
        </is>
      </c>
      <c r="T9" s="10" t="n">
        <v>0</v>
      </c>
    </row>
    <row r="10">
      <c r="A10" s="1" t="n"/>
      <c r="B10" s="8" t="inlineStr">
        <is>
          <t>Zip Code</t>
        </is>
      </c>
      <c r="C10" s="9" t="n"/>
      <c r="D10" s="1" t="n"/>
      <c r="E10" s="1" t="n"/>
      <c r="F10" s="8" t="inlineStr">
        <is>
          <t>Due Diligence Costs</t>
        </is>
      </c>
      <c r="G10" s="1" t="n"/>
      <c r="H10" s="10" t="n">
        <v>10000</v>
      </c>
      <c r="I10" s="1" t="n"/>
      <c r="J10" s="1" t="n"/>
      <c r="K10" s="8" t="inlineStr">
        <is>
          <t>Transfer Tax</t>
        </is>
      </c>
      <c r="L10" s="1" t="n"/>
      <c r="M10" s="13">
        <f>IF('Summary &amp; Assumptions'!$C$9="WA",'WA REET Calculation'!$E$26,0.01)</f>
        <v/>
      </c>
      <c r="N10" s="12">
        <f>-'Summary &amp; Assumptions'!$M$10*'Summary &amp; Assumptions'!$N$8</f>
        <v/>
      </c>
      <c r="O10" s="1" t="n"/>
      <c r="P10" s="1" t="n"/>
      <c r="Q10" s="1" t="n"/>
      <c r="R10" s="1" t="n"/>
      <c r="S10" s="3" t="inlineStr">
        <is>
          <t>Additional #3 (advanced)</t>
        </is>
      </c>
      <c r="T10" s="10" t="n">
        <v>0</v>
      </c>
    </row>
    <row r="11">
      <c r="A11" s="1" t="n"/>
      <c r="B11" s="8" t="inlineStr">
        <is>
          <t>Units | Price per unit</t>
        </is>
      </c>
      <c r="C11" s="14" t="n"/>
      <c r="D11" s="15">
        <f>IFERROR('Summary &amp; Assumptions'!$H$6/'Summary &amp; Assumptions'!$C$11,0)</f>
        <v/>
      </c>
      <c r="E11" s="1" t="n"/>
      <c r="F11" s="8" t="inlineStr">
        <is>
          <t>Additional #1</t>
        </is>
      </c>
      <c r="G11" s="1" t="n"/>
      <c r="H11" s="10" t="n">
        <v>0</v>
      </c>
      <c r="I11" s="1" t="n"/>
      <c r="J11" s="1" t="n"/>
      <c r="K11" s="8" t="inlineStr">
        <is>
          <t>Broker Commission (% of price)</t>
        </is>
      </c>
      <c r="L11" s="1" t="n"/>
      <c r="M11" s="13" t="n">
        <v>0.015</v>
      </c>
      <c r="N11" s="12">
        <f>-'Summary &amp; Assumptions'!$M$11*'Summary &amp; Assumptions'!$N$8</f>
        <v/>
      </c>
      <c r="O11" s="1" t="n"/>
      <c r="P11" s="1" t="n"/>
      <c r="Q11" s="1" t="n"/>
      <c r="R11" s="1" t="n"/>
      <c r="S11" s="1" t="n"/>
      <c r="T11" s="1" t="n"/>
    </row>
    <row r="12">
      <c r="A12" s="1" t="n"/>
      <c r="B12" s="8" t="inlineStr">
        <is>
          <t>Year Built</t>
        </is>
      </c>
      <c r="C12" s="14" t="n"/>
      <c r="D12" s="1" t="n"/>
      <c r="E12" s="1" t="n"/>
      <c r="F12" s="8" t="inlineStr">
        <is>
          <t>Acquisition Fee (see Fees)</t>
        </is>
      </c>
      <c r="G12" s="1" t="n"/>
      <c r="H12" s="16">
        <f>'Investor Waterfall'!$H$6*'Summary &amp; Assumptions'!$H$6</f>
        <v/>
      </c>
      <c r="I12" s="1" t="n"/>
      <c r="J12" s="1" t="n"/>
      <c r="K12" s="17" t="inlineStr">
        <is>
          <t>Net Sales Price</t>
        </is>
      </c>
      <c r="L12" s="1" t="n"/>
      <c r="M12" s="1" t="n"/>
      <c r="N12" s="18">
        <f>SUM(N8:N11)</f>
        <v/>
      </c>
      <c r="O12" s="1" t="n"/>
      <c r="P12" s="1" t="n"/>
      <c r="Q12" s="1" t="n"/>
      <c r="R12" s="1" t="n"/>
      <c r="S12" s="1" t="n"/>
      <c r="T12" s="1" t="n"/>
    </row>
    <row r="13">
      <c r="A13" s="1" t="n"/>
      <c r="B13" s="8" t="inlineStr">
        <is>
          <t>Year Renovated</t>
        </is>
      </c>
      <c r="C13" s="14" t="n"/>
      <c r="D13" s="1" t="n"/>
      <c r="E13" s="1" t="n"/>
      <c r="F13" s="8" t="inlineStr">
        <is>
          <t>Acquisition Costs</t>
        </is>
      </c>
      <c r="G13" s="1" t="n"/>
      <c r="H13" s="12">
        <f>'Summary &amp; Assumptions'!$I$8+'Summary &amp; Assumptions'!$H$9+'Summary &amp; Assumptions'!$H$10+'Summary &amp; Assumptions'!$H$11+'Summary &amp; Assumptions'!$T$9+'Summary &amp; Assumptions'!$T$10+'Summary &amp; Assumptions'!$H$12</f>
        <v/>
      </c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  <c r="T13" s="1" t="n"/>
    </row>
    <row r="14">
      <c r="A14" s="1" t="n"/>
      <c r="B14" s="8" t="inlineStr">
        <is>
          <t>Floors</t>
        </is>
      </c>
      <c r="C14" s="14" t="n"/>
      <c r="D14" s="1" t="n"/>
      <c r="E14" s="1" t="n"/>
      <c r="F14" s="8" t="inlineStr">
        <is>
          <t>Loan Fee</t>
        </is>
      </c>
      <c r="G14" s="1" t="n"/>
      <c r="H14" s="12">
        <f>'Summary &amp; Assumptions'!$H$68</f>
        <v/>
      </c>
      <c r="I14" s="1" t="n"/>
      <c r="J14" s="1" t="n"/>
      <c r="K14" s="8" t="inlineStr">
        <is>
          <t>Loan Payoff</t>
        </is>
      </c>
      <c r="L14" s="1" t="n"/>
      <c r="M14" s="1" t="n"/>
      <c r="N14" s="12">
        <f>-(N12-N15)</f>
        <v/>
      </c>
      <c r="O14" s="1" t="n"/>
      <c r="P14" s="1" t="n"/>
      <c r="Q14" s="1" t="n"/>
      <c r="R14" s="1" t="n"/>
      <c r="S14" s="1" t="n"/>
      <c r="T14" s="1" t="n"/>
    </row>
    <row r="15">
      <c r="A15" s="1" t="n"/>
      <c r="B15" s="8" t="inlineStr">
        <is>
          <t>Occupied Units</t>
        </is>
      </c>
      <c r="C15" s="14" t="n"/>
      <c r="D15" s="1" t="n"/>
      <c r="E15" s="1" t="n"/>
      <c r="F15" s="8" t="inlineStr">
        <is>
          <t>Renovation Cost</t>
        </is>
      </c>
      <c r="G15" s="1" t="n"/>
      <c r="H15" s="12">
        <f>'Renovation'!$F$16</f>
        <v/>
      </c>
      <c r="I15" s="1" t="n"/>
      <c r="J15" s="1" t="n"/>
      <c r="K15" s="17" t="inlineStr">
        <is>
          <t>Net Sales Proceeds after Debt</t>
        </is>
      </c>
      <c r="L15" s="1" t="n"/>
      <c r="M15" s="1" t="n"/>
      <c r="N15" s="18">
        <f>SUM(CashFlow!$F$37:$T$37)</f>
        <v/>
      </c>
      <c r="O15" s="1" t="n"/>
      <c r="P15" s="1" t="n"/>
      <c r="Q15" s="1" t="n"/>
      <c r="R15" s="1" t="n"/>
      <c r="S15" s="1" t="n"/>
      <c r="T15" s="1" t="n"/>
    </row>
    <row r="16">
      <c r="A16" s="1" t="n"/>
      <c r="B16" s="8" t="inlineStr">
        <is>
          <t>Rentable SF | Price per SF</t>
        </is>
      </c>
      <c r="C16" s="19" t="n"/>
      <c r="D16" s="20">
        <f>IFERROR('Summary &amp; Assumptions'!$H$6/'Summary &amp; Assumptions'!$C$16,0)</f>
        <v/>
      </c>
      <c r="E16" s="1" t="n"/>
      <c r="F16" s="17" t="inlineStr">
        <is>
          <t>Total Project Cost</t>
        </is>
      </c>
      <c r="G16" s="1" t="n"/>
      <c r="H16" s="21">
        <f>'Summary &amp; Assumptions'!$H$6+'Summary &amp; Assumptions'!$H$13+'Summary &amp; Assumptions'!$H$68+'Renovation'!$F$16</f>
        <v/>
      </c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  <c r="T16" s="1" t="n"/>
    </row>
    <row r="17">
      <c r="A17" s="1" t="n"/>
      <c r="B17" s="1" t="n"/>
      <c r="C17" s="1" t="n"/>
      <c r="D17" s="1" t="n"/>
      <c r="E17" s="1" t="n"/>
      <c r="F17" s="8" t="inlineStr">
        <is>
          <t>Total Equity</t>
        </is>
      </c>
      <c r="G17" s="1" t="n"/>
      <c r="H17" s="12">
        <f>H16-H18-'Renovation'!$D$34</f>
        <v/>
      </c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  <c r="T17" s="1" t="n"/>
    </row>
    <row r="18">
      <c r="A18" s="1" t="n"/>
      <c r="B18" s="1" t="n"/>
      <c r="C18" s="1" t="n"/>
      <c r="D18" s="1" t="n"/>
      <c r="E18" s="1" t="n"/>
      <c r="F18" s="8" t="inlineStr">
        <is>
          <t>Total Debt</t>
        </is>
      </c>
      <c r="G18" s="1" t="n"/>
      <c r="H18" s="12">
        <f>'Summary &amp; Assumptions'!$C$68+'Summary &amp; Assumptions'!$C$69+'Summary &amp; Assumptions'!$C$70</f>
        <v/>
      </c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  <c r="T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</row>
    <row r="20">
      <c r="A20" s="1" t="n"/>
      <c r="B20" s="6" t="inlineStr">
        <is>
          <t>Returns &amp; Timing</t>
        </is>
      </c>
      <c r="C20" s="7" t="n"/>
      <c r="D20" s="7" t="n"/>
      <c r="E20" s="7" t="n"/>
      <c r="F20" s="7" t="n"/>
      <c r="G20" s="7" t="n"/>
      <c r="H20" s="7" t="n"/>
      <c r="I20" s="1" t="n"/>
      <c r="J20" s="1" t="n"/>
      <c r="K20" s="6" t="inlineStr">
        <is>
          <t>Deal Quality</t>
        </is>
      </c>
      <c r="L20" s="7" t="n"/>
      <c r="M20" s="7" t="n"/>
      <c r="N20" s="1" t="n"/>
      <c r="O20" s="1" t="n"/>
      <c r="P20" s="1" t="n"/>
      <c r="Q20" s="1" t="n"/>
      <c r="R20" s="1" t="n"/>
      <c r="S20" s="1" t="n"/>
      <c r="T20" s="1" t="n"/>
    </row>
    <row r="21">
      <c r="A21" s="1" t="n"/>
      <c r="B21" s="8" t="inlineStr">
        <is>
          <t>Months Until Close</t>
        </is>
      </c>
      <c r="C21" s="14" t="n">
        <v>3</v>
      </c>
      <c r="D21" s="1" t="n"/>
      <c r="E21" s="1" t="n"/>
      <c r="F21" s="1" t="n"/>
      <c r="G21" s="22" t="inlineStr">
        <is>
          <t>Unlevered</t>
        </is>
      </c>
      <c r="H21" s="22" t="inlineStr">
        <is>
          <t>Levered</t>
        </is>
      </c>
      <c r="I21" s="1" t="n"/>
      <c r="J21" s="1" t="n"/>
      <c r="K21" s="8" t="inlineStr">
        <is>
          <t>Yield-on-Cost (untrended)</t>
        </is>
      </c>
      <c r="L21" s="1" t="n"/>
      <c r="M21" s="23">
        <f>'CashFlow'!$D$51</f>
        <v/>
      </c>
      <c r="N21" s="1" t="n"/>
      <c r="O21" s="1" t="n"/>
      <c r="P21" s="1" t="n"/>
      <c r="Q21" s="1" t="n"/>
      <c r="R21" s="1" t="n"/>
      <c r="S21" s="1" t="n"/>
      <c r="T21" s="1" t="n"/>
    </row>
    <row r="22">
      <c r="A22" s="1" t="n"/>
      <c r="B22" s="8" t="inlineStr">
        <is>
          <t>Analysis Start Date</t>
        </is>
      </c>
      <c r="C22" s="24">
        <f>EOMONTH(TODAY(),'Summary &amp; Assumptions'!$C$21)+1</f>
        <v/>
      </c>
      <c r="D22" s="1" t="n"/>
      <c r="E22" s="1" t="n"/>
      <c r="F22" s="8" t="inlineStr">
        <is>
          <t>Project IRR</t>
        </is>
      </c>
      <c r="G22" s="23">
        <f>'CashFlow'!$D$32</f>
        <v/>
      </c>
      <c r="H22" s="23">
        <f>'CashFlow'!$D$41</f>
        <v/>
      </c>
      <c r="I22" s="1" t="n"/>
      <c r="J22" s="1" t="n"/>
      <c r="K22" s="8" t="inlineStr">
        <is>
          <t>YoC Spread vs Exit Cap</t>
        </is>
      </c>
      <c r="L22" s="1" t="n"/>
      <c r="M22" s="23">
        <f>'CashFlow'!$D$51-'Summary &amp; Assumptions'!$M$8</f>
        <v/>
      </c>
      <c r="N22" s="1" t="n"/>
      <c r="O22" s="1" t="n"/>
      <c r="P22" s="1" t="n"/>
      <c r="Q22" s="1" t="n"/>
      <c r="R22" s="1" t="n"/>
      <c r="S22" s="1" t="n"/>
      <c r="T22" s="1" t="n"/>
    </row>
    <row r="23">
      <c r="A23" s="1" t="n"/>
      <c r="B23" s="8" t="inlineStr">
        <is>
          <t>Hold Period (years)</t>
        </is>
      </c>
      <c r="C23" s="14" t="n">
        <v>7</v>
      </c>
      <c r="D23" s="1" t="n"/>
      <c r="E23" s="1" t="n"/>
      <c r="F23" s="8" t="inlineStr">
        <is>
          <t>Equity Multiple</t>
        </is>
      </c>
      <c r="G23" s="25">
        <f>IF(OR('Summary &amp; Assumptions'!$H$6&lt;=0,'P&amp;L'!$Z$69&lt;=0),0,IFERROR(SUMIF(CashFlow!$E$31:$T$31,"&gt;0")/-SUMIF(CashFlow!$E$31:$T$31,"&lt;0"),0))</f>
        <v/>
      </c>
      <c r="H23" s="25">
        <f>IF(OR('Summary &amp; Assumptions'!$H$6&lt;=0,'P&amp;L'!$Z$69&lt;=0),0,IFERROR(SUMIF(CashFlow!$E$40:$T$40,"&gt;0")/-SUMIF(CashFlow!$E$40:$T$40,"&lt;0"),0))</f>
        <v/>
      </c>
      <c r="I23" s="1" t="n"/>
      <c r="J23" s="1" t="n"/>
      <c r="K23" s="8" t="inlineStr">
        <is>
          <t>Yield-on-Cost (trended)</t>
        </is>
      </c>
      <c r="L23" s="1" t="n"/>
      <c r="M23" s="23">
        <f>'CashFlow'!$D$52</f>
        <v/>
      </c>
      <c r="N23" s="1" t="n"/>
      <c r="O23" s="1" t="n"/>
      <c r="P23" s="1" t="n"/>
      <c r="Q23" s="1" t="n"/>
      <c r="R23" s="1" t="n"/>
      <c r="S23" s="1" t="n"/>
      <c r="T23" s="1" t="n"/>
    </row>
    <row r="24">
      <c r="A24" s="1" t="n"/>
      <c r="B24" s="8" t="inlineStr">
        <is>
          <t>Exit Date</t>
        </is>
      </c>
      <c r="C24" s="24">
        <f>EDATE('Summary &amp; Assumptions'!$C$22,'Summary &amp; Assumptions'!$C$23*12)-1</f>
        <v/>
      </c>
      <c r="D24" s="1" t="n"/>
      <c r="E24" s="1" t="n"/>
      <c r="F24" s="8" t="inlineStr">
        <is>
          <t>Simple Avg Return</t>
        </is>
      </c>
      <c r="G24" s="1" t="n"/>
      <c r="H24" s="23">
        <f>IF(OR('Summary &amp; Assumptions'!$H$6&lt;=0,'P&amp;L'!$Z$69&lt;=0),0,IFERROR(('Summary &amp; Assumptions'!$H$23-1)/MAX(1,'Summary &amp; Assumptions'!$C$23),0))</f>
        <v/>
      </c>
      <c r="I24" s="1" t="n"/>
      <c r="J24" s="1" t="n"/>
      <c r="K24" s="8" t="inlineStr">
        <is>
          <t>Reno Budget</t>
        </is>
      </c>
      <c r="L24" s="1" t="n"/>
      <c r="M24" s="26">
        <f>'Renovation'!$D$31</f>
        <v/>
      </c>
      <c r="N24" s="1" t="n"/>
      <c r="O24" s="1" t="n"/>
      <c r="P24" s="1" t="n"/>
      <c r="Q24" s="1" t="n"/>
      <c r="R24" s="1" t="n"/>
      <c r="S24" s="1" t="n"/>
      <c r="T24" s="1" t="n"/>
    </row>
    <row r="25">
      <c r="A25" s="1" t="n"/>
      <c r="B25" s="8" t="inlineStr">
        <is>
          <t>Underwriting Scenario Chosen (P&amp;L)</t>
        </is>
      </c>
      <c r="C25" s="27">
        <f>'P&amp;L'!$AB$4</f>
        <v/>
      </c>
      <c r="D25" s="1" t="n"/>
      <c r="E25" s="1" t="n"/>
      <c r="F25" s="8" t="inlineStr">
        <is>
          <t>Avg Cash-on-Cash</t>
        </is>
      </c>
      <c r="G25" s="1" t="n"/>
      <c r="H25" s="23">
        <f>IF(OR('Summary &amp; Assumptions'!$H$6&lt;=0,'P&amp;L'!$Z$69&lt;=0),0,IFERROR(AVERAGE('CashFlow'!$F$44:$T$44),0))</f>
        <v/>
      </c>
      <c r="I25" s="1" t="n"/>
      <c r="J25" s="1" t="n"/>
      <c r="K25" s="8" t="inlineStr">
        <is>
          <t>Reno Simple ROI</t>
        </is>
      </c>
      <c r="L25" s="1" t="n"/>
      <c r="M25" s="28">
        <f>'Renovation'!$O$16</f>
        <v/>
      </c>
      <c r="N25" s="1" t="n"/>
      <c r="O25" s="1" t="n"/>
      <c r="P25" s="1" t="n"/>
      <c r="Q25" s="1" t="n"/>
      <c r="R25" s="1" t="n"/>
      <c r="S25" s="1" t="n"/>
      <c r="T25" s="1" t="n"/>
    </row>
    <row r="26">
      <c r="A26" s="1" t="n"/>
      <c r="B26" s="8" t="inlineStr">
        <is>
          <t>LTL Capture Period (months)</t>
        </is>
      </c>
      <c r="C26" s="14" t="n">
        <v>12</v>
      </c>
      <c r="D26" s="1" t="n"/>
      <c r="E26" s="1" t="n"/>
      <c r="F26" s="8" t="inlineStr">
        <is>
          <t>LP IRR</t>
        </is>
      </c>
      <c r="G26" s="1" t="n"/>
      <c r="H26" s="23">
        <f>'Investor Waterfall'!$D$45</f>
        <v/>
      </c>
      <c r="I26" s="1" t="n"/>
      <c r="J26" s="1" t="n"/>
      <c r="K26" s="8" t="inlineStr">
        <is>
          <t>Expense Ratio (Yr 1)</t>
        </is>
      </c>
      <c r="L26" s="1" t="n"/>
      <c r="M26" s="28">
        <f>IFERROR(-INDEX('CashFlow'!$F$21:$T$21,1,1)/INDEX('CashFlow'!$F$16:$T$16,1,1),0)</f>
        <v/>
      </c>
      <c r="N26" s="1" t="n"/>
      <c r="O26" s="1" t="n"/>
      <c r="P26" s="1" t="n"/>
      <c r="Q26" s="1" t="n"/>
      <c r="R26" s="1" t="n"/>
      <c r="S26" s="1" t="n"/>
      <c r="T26" s="1" t="n"/>
    </row>
    <row r="27">
      <c r="A27" s="1" t="n"/>
      <c r="B27" s="8" t="inlineStr">
        <is>
          <t>Stabilization Period (months)</t>
        </is>
      </c>
      <c r="C27" s="14" t="n">
        <v>12</v>
      </c>
      <c r="D27" s="1" t="n"/>
      <c r="E27" s="1" t="n"/>
      <c r="F27" s="8" t="inlineStr">
        <is>
          <t>GP IRR</t>
        </is>
      </c>
      <c r="G27" s="1" t="n"/>
      <c r="H27" s="23">
        <f>'Investor Waterfall'!$I$45</f>
        <v/>
      </c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</row>
    <row r="29">
      <c r="A29" s="1" t="n"/>
      <c r="B29" s="6" t="inlineStr">
        <is>
          <t>Debt</t>
        </is>
      </c>
      <c r="C29" s="7" t="n"/>
      <c r="D29" s="7" t="n"/>
      <c r="E29" s="7" t="n"/>
      <c r="F29" s="7" t="n"/>
      <c r="G29" s="7" t="n"/>
      <c r="H29" s="7" t="n"/>
      <c r="I29" s="1" t="n"/>
      <c r="J29" s="1" t="n"/>
      <c r="K29" s="6" t="inlineStr">
        <is>
          <t>Debt &amp; Risk</t>
        </is>
      </c>
      <c r="L29" s="7" t="n"/>
      <c r="M29" s="7" t="n"/>
      <c r="N29" s="1" t="n"/>
      <c r="O29" s="1" t="n"/>
      <c r="P29" s="1" t="n"/>
      <c r="Q29" s="1" t="n"/>
      <c r="R29" s="1" t="n"/>
      <c r="S29" s="1" t="n"/>
      <c r="T29" s="1" t="n"/>
    </row>
    <row r="30">
      <c r="A30" s="1" t="n"/>
      <c r="B30" s="1" t="n"/>
      <c r="C30" s="22" t="inlineStr">
        <is>
          <t>Senior</t>
        </is>
      </c>
      <c r="D30" s="22" t="inlineStr">
        <is>
          <t>Mezz</t>
        </is>
      </c>
      <c r="E30" s="22" t="inlineStr">
        <is>
          <t>Refi</t>
        </is>
      </c>
      <c r="F30" s="22" t="inlineStr">
        <is>
          <t>Assumed Loan</t>
        </is>
      </c>
      <c r="G30" s="22" t="inlineStr">
        <is>
          <t>Custom 1</t>
        </is>
      </c>
      <c r="H30" s="22" t="inlineStr">
        <is>
          <t>Custom 2</t>
        </is>
      </c>
      <c r="I30" s="1" t="n"/>
      <c r="J30" s="1" t="n"/>
      <c r="K30" s="8" t="inlineStr">
        <is>
          <t>Loan at Close</t>
        </is>
      </c>
      <c r="L30" s="1" t="n"/>
      <c r="M30" s="26">
        <f>'Summary &amp; Assumptions'!$C$68+'Summary &amp; Assumptions'!$C$69+'Summary &amp; Assumptions'!$C$70</f>
        <v/>
      </c>
      <c r="N30" s="1" t="n"/>
      <c r="O30" s="1" t="n"/>
      <c r="P30" s="1" t="n"/>
      <c r="Q30" s="1" t="n"/>
      <c r="R30" s="1" t="n"/>
      <c r="S30" s="1" t="n"/>
      <c r="T30" s="1" t="n"/>
    </row>
    <row r="31">
      <c r="A31" s="1" t="n"/>
      <c r="B31" s="8" t="inlineStr">
        <is>
          <t>Include?</t>
        </is>
      </c>
      <c r="C31" s="29">
        <f>IF('Summary &amp; Assumptions'!$F$31="Yes","No","Yes")</f>
        <v/>
      </c>
      <c r="D31" s="29" t="inlineStr">
        <is>
          <t>No</t>
        </is>
      </c>
      <c r="E31" s="29" t="inlineStr">
        <is>
          <t>No</t>
        </is>
      </c>
      <c r="F31" s="29" t="inlineStr">
        <is>
          <t>No</t>
        </is>
      </c>
      <c r="G31" s="29" t="inlineStr">
        <is>
          <t>No</t>
        </is>
      </c>
      <c r="H31" s="29" t="inlineStr">
        <is>
          <t>No</t>
        </is>
      </c>
      <c r="I31" s="30" t="n"/>
      <c r="J31" s="3">
        <f>IF(SUMPRODUCT((C31:H31="Yes")*(C37:H37&gt;0))&gt;0,"← "&amp;SUMPRODUCT((C31:H31="Yes")*(C37:H37&gt;0))&amp;" loan(s) have Start Yr &gt; 0 — the annual model funds ALL included loans in Year 1","")</f>
        <v/>
      </c>
      <c r="K31" s="8" t="inlineStr">
        <is>
          <t>LTV (loan / price)</t>
        </is>
      </c>
      <c r="L31" s="1" t="n"/>
      <c r="M31" s="31">
        <f>IFERROR(('Summary &amp; Assumptions'!$C$68+'Summary &amp; Assumptions'!$C$69+'Summary &amp; Assumptions'!$C$70)/'Summary &amp; Assumptions'!$H$6,0)</f>
        <v/>
      </c>
      <c r="N31" s="1" t="n"/>
      <c r="O31" s="1" t="n"/>
      <c r="P31" s="1" t="n"/>
      <c r="Q31" s="1" t="n"/>
      <c r="R31" s="1" t="n"/>
      <c r="S31" s="1" t="n"/>
      <c r="T31" s="1" t="n"/>
    </row>
    <row r="32">
      <c r="A32" s="1" t="n"/>
      <c r="B32" s="8" t="inlineStr">
        <is>
          <t>Sizing Method</t>
        </is>
      </c>
      <c r="C32" s="29" t="inlineStr">
        <is>
          <t>DSCR</t>
        </is>
      </c>
      <c r="D32" s="29" t="inlineStr">
        <is>
          <t>DSCR</t>
        </is>
      </c>
      <c r="E32" s="29" t="inlineStr">
        <is>
          <t>DSCR</t>
        </is>
      </c>
      <c r="F32" s="29" t="inlineStr">
        <is>
          <t>Loan Amount</t>
        </is>
      </c>
      <c r="G32" s="29" t="inlineStr">
        <is>
          <t>DSCR</t>
        </is>
      </c>
      <c r="H32" s="29" t="inlineStr">
        <is>
          <t>DSCR</t>
        </is>
      </c>
      <c r="I32" s="30" t="n"/>
      <c r="J32" s="1" t="n"/>
      <c r="K32" s="8" t="inlineStr">
        <is>
          <t>DSCR (Year 1)</t>
        </is>
      </c>
      <c r="L32" s="1" t="n"/>
      <c r="M32" s="25">
        <f>INDEX('CashFlow'!$F$45:$T$45,1,1)</f>
        <v/>
      </c>
      <c r="N32" s="1" t="n"/>
      <c r="O32" s="1" t="n"/>
      <c r="P32" s="1" t="n"/>
      <c r="Q32" s="1" t="n"/>
      <c r="R32" s="1" t="n"/>
      <c r="S32" s="1" t="n"/>
      <c r="T32" s="1" t="n"/>
    </row>
    <row r="33">
      <c r="A33" s="1" t="n"/>
      <c r="B33" s="8" t="inlineStr">
        <is>
          <t>Loan Amount (used only when Sizing Method = Loan Amount)</t>
        </is>
      </c>
      <c r="C33" s="10" t="n"/>
      <c r="D33" s="10" t="n"/>
      <c r="E33" s="10" t="n"/>
      <c r="F33" s="10" t="n"/>
      <c r="G33" s="10" t="n"/>
      <c r="H33" s="10" t="n"/>
      <c r="I33" s="30" t="n"/>
      <c r="J33" s="1" t="n"/>
      <c r="K33" s="8" t="inlineStr">
        <is>
          <t>Debt Yield (Year 1)</t>
        </is>
      </c>
      <c r="L33" s="1" t="n"/>
      <c r="M33" s="23">
        <f>INDEX('CashFlow'!$F$46:$T$46,1,1)</f>
        <v/>
      </c>
      <c r="N33" s="1" t="n"/>
      <c r="O33" s="1" t="n"/>
      <c r="P33" s="1" t="n"/>
      <c r="Q33" s="1" t="n"/>
      <c r="R33" s="1" t="n"/>
      <c r="S33" s="1" t="n"/>
      <c r="T33" s="1" t="n"/>
    </row>
    <row r="34">
      <c r="A34" s="1" t="n"/>
      <c r="B34" s="3" t="inlineStr">
        <is>
          <t>→ Resolved Amount (computed from the Sizing Method above)</t>
        </is>
      </c>
      <c r="C34" s="15">
        <f>MAX(0,IF(C31&lt;&gt;"Yes",0,IF(C32="Loan Amount",N(C33),IF(C32="LTV",C35*'Summary &amp; Assumptions'!$H$6,IFERROR(CashFlow!$F$24/(C36*IF(C47&gt;=1,C40,-PMT(C40/12,C48*12,1)*12)),0)))))</f>
        <v/>
      </c>
      <c r="D34" s="15">
        <f>MAX(0,IF(D31&lt;&gt;"Yes",0,IF(D32="Loan Amount",N(D33),IF(D32="LTV",D35*'Summary &amp; Assumptions'!$H$6,IFERROR(CashFlow!$F$24/(D36*IF(D47&gt;=1,D40,-PMT(D40/12,D48*12,1)*12)),0)))))</f>
        <v/>
      </c>
      <c r="E34" s="15">
        <f>MAX(0,IF(E31&lt;&gt;"Yes",0,IF(E32="Loan Amount",N(E33),IF(E32="LTV",E35*'Summary &amp; Assumptions'!$H$6,IFERROR(CashFlow!$F$24/(E36*IF(E47&gt;=1,E40,-PMT(E40/12,E48*12,1)*12)),0)))))</f>
        <v/>
      </c>
      <c r="F34" s="15">
        <f>MAX(0,IF(F31&lt;&gt;"Yes",0,IF(F32="Loan Amount",N(F33),IF(F32="LTV",F35*'Summary &amp; Assumptions'!$H$6,IFERROR(CashFlow!$F$24/(F36*IF(F47&gt;=1,F40,-PMT(F40/12,F48*12,1)*12)),0)))))</f>
        <v/>
      </c>
      <c r="G34" s="15">
        <f>MAX(0,IF(G31&lt;&gt;"Yes",0,IF(G32="Loan Amount",N(G33),IF(G32="LTV",G35*'Summary &amp; Assumptions'!$H$6,IFERROR(CashFlow!$F$24/(G36*IF(G47&gt;=1,G40,-PMT(G40/12,G48*12,1)*12)),0)))))</f>
        <v/>
      </c>
      <c r="H34" s="15">
        <f>MAX(0,IF(H31&lt;&gt;"Yes",0,IF(H32="Loan Amount",N(H33),IF(H32="LTV",H35*'Summary &amp; Assumptions'!$H$6,IFERROR(CashFlow!$F$24/(H36*IF(H47&gt;=1,H40,-PMT(H40/12,H48*12,1)*12)),0)))))</f>
        <v/>
      </c>
      <c r="I34" s="30" t="n"/>
      <c r="J34" s="1" t="n"/>
      <c r="K34" s="8" t="inlineStr">
        <is>
          <t>Break-Even Occupancy</t>
        </is>
      </c>
      <c r="L34" s="1" t="n"/>
      <c r="M34" s="23">
        <f>'CashFlow'!$D$56</f>
        <v/>
      </c>
      <c r="N34" s="1" t="n"/>
      <c r="O34" s="1" t="n"/>
      <c r="P34" s="1" t="n"/>
      <c r="Q34" s="1" t="n"/>
      <c r="R34" s="1" t="n"/>
      <c r="S34" s="1" t="n"/>
      <c r="T34" s="1" t="n"/>
    </row>
    <row r="35">
      <c r="A35" s="1" t="n"/>
      <c r="B35" s="8" t="inlineStr">
        <is>
          <t>LTV (% of price)</t>
        </is>
      </c>
      <c r="C35" s="32" t="n">
        <v>0.6</v>
      </c>
      <c r="D35" s="32" t="n"/>
      <c r="E35" s="32" t="n"/>
      <c r="F35" s="32" t="n"/>
      <c r="G35" s="32" t="n"/>
      <c r="H35" s="32" t="n"/>
      <c r="I35" s="30" t="n"/>
      <c r="J35" s="1" t="n"/>
      <c r="K35" s="8" t="inlineStr">
        <is>
          <t>Total Equity Required</t>
        </is>
      </c>
      <c r="L35" s="1" t="n"/>
      <c r="M35" s="26">
        <f>'Summary &amp; Assumptions'!$C$73</f>
        <v/>
      </c>
      <c r="N35" s="1" t="n"/>
      <c r="O35" s="1" t="n"/>
      <c r="P35" s="1" t="n"/>
      <c r="Q35" s="1" t="n"/>
      <c r="R35" s="1" t="n"/>
      <c r="S35" s="1" t="n"/>
      <c r="T35" s="1" t="n"/>
    </row>
    <row r="36">
      <c r="A36" s="1" t="n"/>
      <c r="B36" s="8" t="inlineStr">
        <is>
          <t>Min DSCR Constraint (on NOI excl. renovation)</t>
        </is>
      </c>
      <c r="C36" s="33" t="n">
        <v>1.25</v>
      </c>
      <c r="D36" s="33" t="n">
        <v>1.2</v>
      </c>
      <c r="E36" s="33" t="n">
        <v>1.25</v>
      </c>
      <c r="F36" s="33" t="n"/>
      <c r="G36" s="33" t="n">
        <v>1.2</v>
      </c>
      <c r="H36" s="33" t="n">
        <v>1.2</v>
      </c>
      <c r="I36" s="30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</row>
    <row r="37">
      <c r="A37" s="1" t="n"/>
      <c r="B37" s="8" t="inlineStr">
        <is>
          <t>Start Year (0 = close)</t>
        </is>
      </c>
      <c r="C37" s="14" t="n">
        <v>0</v>
      </c>
      <c r="D37" s="14" t="n"/>
      <c r="E37" s="14" t="n">
        <v>5</v>
      </c>
      <c r="F37" s="14" t="n">
        <v>0</v>
      </c>
      <c r="G37" s="14" t="n"/>
      <c r="H37" s="14" t="n"/>
      <c r="I37" s="30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  <c r="T37" s="1" t="n"/>
    </row>
    <row r="38">
      <c r="A38" s="1" t="n"/>
      <c r="B38" s="8" t="inlineStr">
        <is>
          <t>Term (years)</t>
        </is>
      </c>
      <c r="C38" s="14" t="n">
        <v>10</v>
      </c>
      <c r="D38" s="14" t="n"/>
      <c r="E38" s="14" t="n"/>
      <c r="F38" s="14" t="n"/>
      <c r="G38" s="14" t="n"/>
      <c r="H38" s="14" t="n"/>
      <c r="I38" s="30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</row>
    <row r="39">
      <c r="A39" s="1" t="n"/>
      <c r="B39" s="8" t="inlineStr">
        <is>
          <t>Rate Type</t>
        </is>
      </c>
      <c r="C39" s="29" t="inlineStr">
        <is>
          <t>Fixed</t>
        </is>
      </c>
      <c r="D39" s="29" t="n"/>
      <c r="E39" s="29" t="n"/>
      <c r="F39" s="29" t="n"/>
      <c r="G39" s="29" t="n"/>
      <c r="H39" s="29" t="n"/>
      <c r="I39" s="30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</row>
    <row r="40">
      <c r="A40" s="1" t="n"/>
      <c r="B40" s="8" t="inlineStr">
        <is>
          <t>Fixed Rate</t>
        </is>
      </c>
      <c r="C40" s="13" t="n">
        <v>0.055</v>
      </c>
      <c r="D40" s="13" t="n"/>
      <c r="E40" s="13" t="n"/>
      <c r="F40" s="13" t="n"/>
      <c r="G40" s="13" t="n"/>
      <c r="H40" s="13" t="n"/>
      <c r="I40" s="30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</row>
    <row r="41" hidden="1" outlineLevel="1">
      <c r="A41" s="1" t="n"/>
      <c r="B41" s="8" t="inlineStr">
        <is>
          <t>Index</t>
        </is>
      </c>
      <c r="C41" s="29" t="inlineStr">
        <is>
          <t>SOFR</t>
        </is>
      </c>
      <c r="D41" s="29" t="n"/>
      <c r="E41" s="29" t="n"/>
      <c r="F41" s="29" t="n"/>
      <c r="G41" s="29" t="n"/>
      <c r="H41" s="29" t="n"/>
      <c r="I41" s="30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</row>
    <row r="42" hidden="1" outlineLevel="1">
      <c r="A42" s="1" t="n"/>
      <c r="B42" s="8" t="inlineStr">
        <is>
          <t>Spread</t>
        </is>
      </c>
      <c r="C42" s="13" t="n"/>
      <c r="D42" s="13" t="n"/>
      <c r="E42" s="13" t="n"/>
      <c r="F42" s="13" t="n"/>
      <c r="G42" s="13" t="n"/>
      <c r="H42" s="13" t="n"/>
      <c r="I42" s="30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</row>
    <row r="43" hidden="1" outlineLevel="1">
      <c r="A43" s="1" t="n"/>
      <c r="B43" s="8" t="inlineStr">
        <is>
          <t>Rate Floor</t>
        </is>
      </c>
      <c r="C43" s="13" t="n"/>
      <c r="D43" s="13" t="n"/>
      <c r="E43" s="13" t="n"/>
      <c r="F43" s="13" t="n"/>
      <c r="G43" s="13" t="n"/>
      <c r="H43" s="13" t="n"/>
      <c r="I43" s="30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</row>
    <row r="44" hidden="1" outlineLevel="1">
      <c r="A44" s="1" t="n"/>
      <c r="B44" s="8" t="inlineStr">
        <is>
          <t>Rate Cap</t>
        </is>
      </c>
      <c r="C44" s="13" t="n"/>
      <c r="D44" s="13" t="n"/>
      <c r="E44" s="13" t="n"/>
      <c r="F44" s="13" t="n"/>
      <c r="G44" s="13" t="n"/>
      <c r="H44" s="13" t="n"/>
      <c r="I44" s="30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</row>
    <row r="45" hidden="1" outlineLevel="1">
      <c r="A45" s="1" t="n"/>
      <c r="B45" s="8" t="inlineStr">
        <is>
          <t>Rate Cap Cost ($)</t>
        </is>
      </c>
      <c r="C45" s="10" t="n"/>
      <c r="D45" s="10" t="n"/>
      <c r="E45" s="10" t="n"/>
      <c r="F45" s="10" t="n"/>
      <c r="G45" s="10" t="n"/>
      <c r="H45" s="10" t="n"/>
      <c r="I45" s="30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</row>
    <row r="46">
      <c r="A46" s="1" t="n"/>
      <c r="B46" s="8" t="inlineStr">
        <is>
          <t>Structure</t>
        </is>
      </c>
      <c r="C46" s="29">
        <f>IF(C47=0,"Amortizing","IO then Amortizing")</f>
        <v/>
      </c>
      <c r="D46" s="29">
        <f>IF(D47=0,"Amortizing","IO then Amortizing")</f>
        <v/>
      </c>
      <c r="E46" s="29">
        <f>IF(E47=0,"Amortizing","IO then Amortizing")</f>
        <v/>
      </c>
      <c r="F46" s="29">
        <f>IF(F47=0,"Amortizing","IO then Amortizing")</f>
        <v/>
      </c>
      <c r="G46" s="29">
        <f>IF(G47=0,"Amortizing","IO then Amortizing")</f>
        <v/>
      </c>
      <c r="H46" s="29">
        <f>IF(H47=0,"Amortizing","IO then Amortizing")</f>
        <v/>
      </c>
      <c r="I46" s="30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</row>
    <row r="47">
      <c r="A47" s="1" t="n"/>
      <c r="B47" s="8" t="inlineStr">
        <is>
          <t>IO Period (years)</t>
        </is>
      </c>
      <c r="C47" s="14" t="n">
        <v>0</v>
      </c>
      <c r="D47" s="14" t="n"/>
      <c r="E47" s="14" t="n"/>
      <c r="F47" s="14" t="n"/>
      <c r="G47" s="14" t="n"/>
      <c r="H47" s="14" t="n"/>
      <c r="I47" s="30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</row>
    <row r="48">
      <c r="A48" s="1" t="n"/>
      <c r="B48" s="8" t="inlineStr">
        <is>
          <t>Amortization (years)</t>
        </is>
      </c>
      <c r="C48" s="14" t="n">
        <v>30</v>
      </c>
      <c r="D48" s="14" t="n"/>
      <c r="E48" s="14" t="n"/>
      <c r="F48" s="14" t="n"/>
      <c r="G48" s="14" t="n"/>
      <c r="H48" s="14" t="n"/>
      <c r="I48" s="30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</row>
    <row r="49">
      <c r="A49" s="1" t="n"/>
      <c r="B49" s="8" t="inlineStr">
        <is>
          <t>Origination Fee %</t>
        </is>
      </c>
      <c r="C49" s="13" t="n">
        <v>0.01</v>
      </c>
      <c r="D49" s="13" t="n"/>
      <c r="E49" s="13" t="n"/>
      <c r="F49" s="13" t="n"/>
      <c r="G49" s="13" t="n"/>
      <c r="H49" s="13" t="n"/>
      <c r="I49" s="30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</row>
    <row r="51">
      <c r="A51" s="1" t="n"/>
      <c r="B51" s="17" t="inlineStr">
        <is>
          <t>Expand for: Property Taxes, SOFR Index</t>
        </is>
      </c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</row>
    <row r="52" hidden="1" outlineLevel="1">
      <c r="A52" s="1" t="n"/>
      <c r="B52" s="6" t="inlineStr">
        <is>
          <t>Property Taxes</t>
        </is>
      </c>
      <c r="C52" s="7" t="n"/>
      <c r="D52" s="7" t="n"/>
      <c r="E52" s="7" t="n"/>
      <c r="F52" s="7" t="n"/>
      <c r="G52" s="7" t="n"/>
      <c r="H52" s="7" t="n"/>
      <c r="I52" s="7" t="n"/>
      <c r="J52" s="7" t="n"/>
      <c r="K52" s="7" t="n"/>
      <c r="L52" s="7" t="n"/>
      <c r="M52" s="7" t="n"/>
      <c r="N52" s="7" t="n"/>
      <c r="O52" s="7" t="n"/>
      <c r="P52" s="7" t="n"/>
      <c r="Q52" s="7" t="n"/>
      <c r="R52" s="1" t="n"/>
      <c r="S52" s="1" t="n"/>
      <c r="T52" s="1" t="n"/>
    </row>
    <row r="53" hidden="1" outlineLevel="1">
      <c r="A53" s="1" t="n"/>
      <c r="B53" s="8" t="inlineStr">
        <is>
          <t>Tax Method</t>
        </is>
      </c>
      <c r="C53" s="9" t="inlineStr">
        <is>
          <t>Hold T12 + Growth</t>
        </is>
      </c>
      <c r="D53" s="1" t="n"/>
      <c r="E53" s="1" t="n"/>
      <c r="F53" s="8" t="inlineStr">
        <is>
          <t>Effective Tax Rate</t>
        </is>
      </c>
      <c r="G53" s="1" t="n"/>
      <c r="H53" s="13">
        <f>IFERROR(VLOOKUP('Summary &amp; Assumptions'!$C$9,'State Tax Rates'!$B$7:$G$57,2,FALSE)*VLOOKUP('Summary &amp; Assumptions'!$C$9,'State Tax Rates'!$B$7:$G$57,4,FALSE),0.011)</f>
        <v/>
      </c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</row>
    <row r="54" hidden="1" outlineLevel="1">
      <c r="A54" s="1" t="n"/>
      <c r="B54" s="3" t="inlineStr">
        <is>
          <t>Tax Schedule</t>
        </is>
      </c>
      <c r="C54" s="22" t="inlineStr">
        <is>
          <t>Year 0</t>
        </is>
      </c>
      <c r="D54" s="22" t="inlineStr">
        <is>
          <t>Year 1</t>
        </is>
      </c>
      <c r="E54" s="22" t="inlineStr">
        <is>
          <t>Year 2</t>
        </is>
      </c>
      <c r="F54" s="22" t="inlineStr">
        <is>
          <t>Year 3</t>
        </is>
      </c>
      <c r="G54" s="22" t="inlineStr">
        <is>
          <t>Year 4</t>
        </is>
      </c>
      <c r="H54" s="22" t="inlineStr">
        <is>
          <t>Year 5</t>
        </is>
      </c>
      <c r="I54" s="22" t="inlineStr">
        <is>
          <t>Year 6</t>
        </is>
      </c>
      <c r="J54" s="22" t="inlineStr">
        <is>
          <t>Year 7</t>
        </is>
      </c>
      <c r="K54" s="22" t="inlineStr">
        <is>
          <t>Year 8</t>
        </is>
      </c>
      <c r="L54" s="22" t="inlineStr">
        <is>
          <t>Year 9</t>
        </is>
      </c>
      <c r="M54" s="22" t="inlineStr">
        <is>
          <t>Year 10</t>
        </is>
      </c>
      <c r="N54" s="22" t="inlineStr">
        <is>
          <t>Year 11</t>
        </is>
      </c>
      <c r="O54" s="22" t="inlineStr">
        <is>
          <t>Year 12</t>
        </is>
      </c>
      <c r="P54" s="22" t="inlineStr">
        <is>
          <t>Year 13</t>
        </is>
      </c>
      <c r="Q54" s="22" t="inlineStr">
        <is>
          <t>Year 14</t>
        </is>
      </c>
      <c r="R54" s="22" t="inlineStr">
        <is>
          <t>Year 15</t>
        </is>
      </c>
      <c r="S54" s="1" t="n"/>
      <c r="T54" s="1" t="n"/>
    </row>
    <row r="55" hidden="1" outlineLevel="1">
      <c r="A55" s="1" t="n"/>
      <c r="B55" s="8" t="inlineStr">
        <is>
          <t>Annual Growth</t>
        </is>
      </c>
      <c r="C55" s="1" t="n"/>
      <c r="D55" s="1" t="n"/>
      <c r="E55" s="13" t="n">
        <v>0.03</v>
      </c>
      <c r="F55" s="13" t="n">
        <v>0.03</v>
      </c>
      <c r="G55" s="13" t="n">
        <v>0.03</v>
      </c>
      <c r="H55" s="13" t="n">
        <v>0.03</v>
      </c>
      <c r="I55" s="13" t="n">
        <v>0.03</v>
      </c>
      <c r="J55" s="13" t="n">
        <v>0.03</v>
      </c>
      <c r="K55" s="13" t="n">
        <v>0.03</v>
      </c>
      <c r="L55" s="13" t="n">
        <v>0.03</v>
      </c>
      <c r="M55" s="13" t="n">
        <v>0.03</v>
      </c>
      <c r="N55" s="13" t="n">
        <v>0.03</v>
      </c>
      <c r="O55" s="13" t="n">
        <v>0.03</v>
      </c>
      <c r="P55" s="13" t="n">
        <v>0.03</v>
      </c>
      <c r="Q55" s="13" t="n">
        <v>0.03</v>
      </c>
      <c r="R55" s="13" t="n">
        <v>0.03</v>
      </c>
      <c r="S55" s="1" t="n"/>
      <c r="T55" s="1" t="n"/>
    </row>
    <row r="56" hidden="1" outlineLevel="1">
      <c r="A56" s="1" t="n"/>
      <c r="B56" s="17" t="inlineStr">
        <is>
          <t>Property Tax ($)</t>
        </is>
      </c>
      <c r="C56" s="12">
        <f>'P&amp;L'!$U$31</f>
        <v/>
      </c>
      <c r="D56" s="10">
        <f>IF('P&amp;L'!$Z$31&lt;=0,'P&amp;L'!$Z$31,IF('Summary &amp; Assumptions'!$C$53="Reassess at Purchase (State Rule)",'Summary &amp; Assumptions'!$H$6*'Summary &amp; Assumptions'!$H$53,'P&amp;L'!$Z$31))</f>
        <v/>
      </c>
      <c r="E56" s="12">
        <f>D56*(1+E55)</f>
        <v/>
      </c>
      <c r="F56" s="12">
        <f>E56*(1+F55)</f>
        <v/>
      </c>
      <c r="G56" s="12">
        <f>F56*(1+G55)</f>
        <v/>
      </c>
      <c r="H56" s="12">
        <f>G56*(1+H55)</f>
        <v/>
      </c>
      <c r="I56" s="12">
        <f>H56*(1+I55)</f>
        <v/>
      </c>
      <c r="J56" s="12">
        <f>I56*(1+J55)</f>
        <v/>
      </c>
      <c r="K56" s="12">
        <f>J56*(1+K55)</f>
        <v/>
      </c>
      <c r="L56" s="12">
        <f>K56*(1+L55)</f>
        <v/>
      </c>
      <c r="M56" s="12">
        <f>L56*(1+M55)</f>
        <v/>
      </c>
      <c r="N56" s="12">
        <f>M56*(1+N55)</f>
        <v/>
      </c>
      <c r="O56" s="12">
        <f>N56*(1+O55)</f>
        <v/>
      </c>
      <c r="P56" s="12">
        <f>O56*(1+P55)</f>
        <v/>
      </c>
      <c r="Q56" s="12">
        <f>P56*(1+Q55)</f>
        <v/>
      </c>
      <c r="R56" s="12">
        <f>Q56*(1+R55)</f>
        <v/>
      </c>
      <c r="S56" s="1" t="n"/>
      <c r="T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</row>
    <row r="58" hidden="1" outlineLevel="1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</row>
    <row r="59" hidden="1" outlineLevel="1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</row>
    <row r="60" hidden="1" outlineLevel="1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</row>
    <row r="61" hidden="1" outlineLevel="1">
      <c r="A61" s="1" t="n"/>
      <c r="B61" s="6" t="inlineStr">
        <is>
          <t>Index Projection (annual avg, used by floating-rate loans)</t>
        </is>
      </c>
      <c r="C61" s="7" t="n"/>
      <c r="D61" s="7" t="n"/>
      <c r="E61" s="7" t="n"/>
      <c r="F61" s="7" t="n"/>
      <c r="G61" s="7" t="n"/>
      <c r="H61" s="7" t="n"/>
      <c r="I61" s="7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  <c r="T61" s="1" t="n"/>
    </row>
    <row r="62" hidden="1" outlineLevel="1">
      <c r="A62" s="1" t="n"/>
      <c r="B62" s="1" t="n"/>
      <c r="C62" s="34" t="inlineStr">
        <is>
          <t>Yr 1</t>
        </is>
      </c>
      <c r="D62" s="34" t="inlineStr">
        <is>
          <t>Yr 2</t>
        </is>
      </c>
      <c r="E62" s="34" t="inlineStr">
        <is>
          <t>Yr 3</t>
        </is>
      </c>
      <c r="F62" s="34" t="inlineStr">
        <is>
          <t>Yr 4</t>
        </is>
      </c>
      <c r="G62" s="34" t="inlineStr">
        <is>
          <t>Yr 5</t>
        </is>
      </c>
      <c r="H62" s="34" t="inlineStr">
        <is>
          <t>Yr 6</t>
        </is>
      </c>
      <c r="I62" s="34" t="inlineStr">
        <is>
          <t>Yr 7</t>
        </is>
      </c>
      <c r="J62" s="34" t="inlineStr">
        <is>
          <t>Yr 8</t>
        </is>
      </c>
      <c r="K62" s="34" t="inlineStr">
        <is>
          <t>Yr 9</t>
        </is>
      </c>
      <c r="L62" s="34" t="inlineStr">
        <is>
          <t>Yr 10</t>
        </is>
      </c>
      <c r="M62" s="34" t="inlineStr">
        <is>
          <t>Yr 11</t>
        </is>
      </c>
      <c r="N62" s="34" t="inlineStr">
        <is>
          <t>Yr 12</t>
        </is>
      </c>
      <c r="O62" s="34" t="inlineStr">
        <is>
          <t>Yr 13</t>
        </is>
      </c>
      <c r="P62" s="34" t="inlineStr">
        <is>
          <t>Yr 14</t>
        </is>
      </c>
      <c r="Q62" s="34" t="inlineStr">
        <is>
          <t>Yr 15</t>
        </is>
      </c>
      <c r="R62" s="1" t="n"/>
      <c r="S62" s="1" t="n"/>
      <c r="T62" s="1" t="n"/>
    </row>
    <row r="63" hidden="1" outlineLevel="1">
      <c r="A63" s="1" t="n"/>
      <c r="B63" s="8" t="inlineStr">
        <is>
          <t>SOFR / Index Curve</t>
        </is>
      </c>
      <c r="C63" s="13" t="n">
        <v>0.0425</v>
      </c>
      <c r="D63" s="13">
        <f>C63</f>
        <v/>
      </c>
      <c r="E63" s="13">
        <f>D63</f>
        <v/>
      </c>
      <c r="F63" s="13">
        <f>E63</f>
        <v/>
      </c>
      <c r="G63" s="13">
        <f>F63</f>
        <v/>
      </c>
      <c r="H63" s="13">
        <f>G63</f>
        <v/>
      </c>
      <c r="I63" s="13">
        <f>H63</f>
        <v/>
      </c>
      <c r="J63" s="13">
        <f>I63</f>
        <v/>
      </c>
      <c r="K63" s="13">
        <f>J63</f>
        <v/>
      </c>
      <c r="L63" s="13">
        <f>K63</f>
        <v/>
      </c>
      <c r="M63" s="13">
        <f>L63</f>
        <v/>
      </c>
      <c r="N63" s="13">
        <f>M63</f>
        <v/>
      </c>
      <c r="O63" s="13">
        <f>N63</f>
        <v/>
      </c>
      <c r="P63" s="13">
        <f>O63</f>
        <v/>
      </c>
      <c r="Q63" s="13">
        <f>P63</f>
        <v/>
      </c>
      <c r="R63" s="1" t="n"/>
      <c r="S63" s="1" t="n"/>
      <c r="T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</row>
    <row r="65" hidden="1" outlineLevel="1">
      <c r="A65" s="1" t="n"/>
      <c r="B65" s="6" t="inlineStr">
        <is>
          <t>Sources</t>
        </is>
      </c>
      <c r="C65" s="7" t="n"/>
      <c r="D65" s="1" t="n"/>
      <c r="E65" s="1" t="n"/>
      <c r="F65" s="6" t="inlineStr">
        <is>
          <t>Uses</t>
        </is>
      </c>
      <c r="G65" s="7" t="n"/>
      <c r="H65" s="7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  <c r="R65" s="1" t="n"/>
      <c r="S65" s="1" t="n"/>
      <c r="T65" s="1" t="n"/>
    </row>
    <row r="66" hidden="1" outlineLevel="1">
      <c r="A66" s="1" t="n"/>
      <c r="B66" s="8" t="inlineStr">
        <is>
          <t>GP Equity</t>
        </is>
      </c>
      <c r="C66" s="12">
        <f>('Summary &amp; Assumptions'!$H$71-'Summary &amp; Assumptions'!$C$68-'Summary &amp; Assumptions'!$C$69-'Summary &amp; Assumptions'!$C$70)*'Investor Waterfall'!$C$6</f>
        <v/>
      </c>
      <c r="D66" s="1" t="n"/>
      <c r="E66" s="1" t="n"/>
      <c r="F66" s="8" t="inlineStr">
        <is>
          <t>Purchase Price</t>
        </is>
      </c>
      <c r="G66" s="1" t="n"/>
      <c r="H66" s="12">
        <f>'Summary &amp; Assumptions'!$H$6</f>
        <v/>
      </c>
      <c r="I66" s="1" t="n"/>
      <c r="J66" s="1" t="n"/>
      <c r="K66" s="1" t="n"/>
      <c r="L66" s="1" t="n"/>
      <c r="M66" s="1" t="n"/>
      <c r="N66" s="1" t="n"/>
      <c r="O66" s="1" t="n"/>
      <c r="P66" s="1" t="n"/>
      <c r="Q66" s="1" t="n"/>
      <c r="R66" s="1" t="n"/>
      <c r="S66" s="1" t="n"/>
      <c r="T66" s="1" t="n"/>
    </row>
    <row r="67" hidden="1" outlineLevel="1">
      <c r="A67" s="1" t="n"/>
      <c r="B67" s="8" t="inlineStr">
        <is>
          <t>LP Equity</t>
        </is>
      </c>
      <c r="C67" s="12">
        <f>('Summary &amp; Assumptions'!$H$71-'Summary &amp; Assumptions'!$C$68-'Summary &amp; Assumptions'!$C$69-'Summary &amp; Assumptions'!$C$70)*'Investor Waterfall'!$C$7</f>
        <v/>
      </c>
      <c r="D67" s="1" t="n"/>
      <c r="E67" s="1" t="n"/>
      <c r="F67" s="8" t="inlineStr">
        <is>
          <t>Acquisition Costs</t>
        </is>
      </c>
      <c r="G67" s="1" t="n"/>
      <c r="H67" s="12">
        <f>'Summary &amp; Assumptions'!$H$13</f>
        <v/>
      </c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  <c r="R67" s="1" t="n"/>
      <c r="S67" s="1" t="n"/>
      <c r="T67" s="1" t="n"/>
    </row>
    <row r="68" hidden="1" outlineLevel="1">
      <c r="A68" s="1" t="n"/>
      <c r="B68" s="8" t="inlineStr">
        <is>
          <t>Senior Loan</t>
        </is>
      </c>
      <c r="C68" s="12">
        <f>IF('Summary &amp; Assumptions'!$C$31="Yes",'Summary &amp; Assumptions'!$C$34,0)</f>
        <v/>
      </c>
      <c r="D68" s="1" t="n"/>
      <c r="E68" s="1" t="n"/>
      <c r="F68" s="8" t="inlineStr">
        <is>
          <t>Loan Origination Fees</t>
        </is>
      </c>
      <c r="G68" s="1" t="n"/>
      <c r="H68" s="12">
        <f>'Summary &amp; Assumptions'!$C$49*'Summary &amp; Assumptions'!$C$34</f>
        <v/>
      </c>
      <c r="I68" s="1" t="n"/>
      <c r="J68" s="1" t="n"/>
      <c r="K68" s="1" t="n"/>
      <c r="L68" s="1" t="n"/>
      <c r="M68" s="1" t="n"/>
      <c r="N68" s="1" t="n"/>
      <c r="O68" s="1" t="n"/>
      <c r="P68" s="1" t="n"/>
      <c r="Q68" s="1" t="n"/>
      <c r="R68" s="1" t="n"/>
      <c r="S68" s="1" t="n"/>
      <c r="T68" s="1" t="n"/>
    </row>
    <row r="69" hidden="1" outlineLevel="1">
      <c r="A69" s="1" t="n"/>
      <c r="B69" s="8" t="inlineStr">
        <is>
          <t>Mezz Loan</t>
        </is>
      </c>
      <c r="C69" s="12">
        <f>IF('Summary &amp; Assumptions'!$D$31="Yes",'Summary &amp; Assumptions'!$D$34,0)</f>
        <v/>
      </c>
      <c r="D69" s="1" t="n"/>
      <c r="E69" s="1" t="n"/>
      <c r="F69" s="8" t="inlineStr">
        <is>
          <t>Reserves Funded at Close</t>
        </is>
      </c>
      <c r="G69" s="1" t="n"/>
      <c r="H69" s="12">
        <f>'Investor Waterfall'!$H$14</f>
        <v/>
      </c>
      <c r="I69" s="1" t="n"/>
      <c r="J69" s="1" t="n"/>
      <c r="K69" s="1" t="n"/>
      <c r="L69" s="1" t="n"/>
      <c r="M69" s="1" t="n"/>
      <c r="N69" s="1" t="n"/>
      <c r="O69" s="1" t="n"/>
      <c r="P69" s="1" t="n"/>
      <c r="Q69" s="1" t="n"/>
      <c r="R69" s="1" t="n"/>
      <c r="S69" s="1" t="n"/>
      <c r="T69" s="1" t="n"/>
    </row>
    <row r="70" hidden="1" outlineLevel="1">
      <c r="A70" s="1" t="n"/>
      <c r="B70" s="8" t="inlineStr">
        <is>
          <t>Refi + Assumed + Custom Loans (at close)</t>
        </is>
      </c>
      <c r="C70" s="12">
        <f>IF('Summary &amp; Assumptions'!$E$31="Yes",'Summary &amp; Assumptions'!$E$34,0)+IF('Summary &amp; Assumptions'!$F$31="Yes",'Summary &amp; Assumptions'!$F$34,0)+IF('Summary &amp; Assumptions'!$G$31="Yes",'Summary &amp; Assumptions'!$G$34,0)+IF('Summary &amp; Assumptions'!$H$31="Yes",'Summary &amp; Assumptions'!$H$34,0)</f>
        <v/>
      </c>
      <c r="D70" s="1" t="n"/>
      <c r="E70" s="1" t="n"/>
      <c r="F70" s="8" t="inlineStr">
        <is>
          <t>Renovation Reserves (equity-funded)</t>
        </is>
      </c>
      <c r="G70" s="1" t="n"/>
      <c r="H70" s="12">
        <f>'Renovation'!$D$35</f>
        <v/>
      </c>
      <c r="I70" s="1" t="n"/>
      <c r="J70" s="1" t="n"/>
      <c r="K70" s="1" t="n"/>
      <c r="L70" s="1" t="n"/>
      <c r="M70" s="1" t="n"/>
      <c r="N70" s="1" t="n"/>
      <c r="O70" s="1" t="n"/>
      <c r="P70" s="1" t="n"/>
      <c r="Q70" s="1" t="n"/>
      <c r="R70" s="1" t="n"/>
      <c r="S70" s="1" t="n"/>
      <c r="T70" s="1" t="n"/>
    </row>
    <row r="71" hidden="1" outlineLevel="1">
      <c r="A71" s="1" t="n"/>
      <c r="B71" s="17" t="inlineStr">
        <is>
          <t>Total Sources</t>
        </is>
      </c>
      <c r="C71" s="21">
        <f>SUM(C66:C70)</f>
        <v/>
      </c>
      <c r="D71" s="1" t="n"/>
      <c r="E71" s="1" t="n"/>
      <c r="F71" s="17" t="inlineStr">
        <is>
          <t>Total Uses</t>
        </is>
      </c>
      <c r="G71" s="1" t="n"/>
      <c r="H71" s="21">
        <f>SUM(H66:H70)</f>
        <v/>
      </c>
      <c r="I71" s="1" t="n"/>
      <c r="J71" s="1" t="n"/>
      <c r="K71" s="1" t="n"/>
      <c r="L71" s="1" t="n"/>
      <c r="M71" s="1" t="n"/>
      <c r="N71" s="1" t="n"/>
      <c r="O71" s="1" t="n"/>
      <c r="P71" s="1" t="n"/>
      <c r="Q71" s="1" t="n"/>
      <c r="R71" s="1" t="n"/>
      <c r="S71" s="1" t="n"/>
      <c r="T71" s="1" t="n"/>
    </row>
    <row r="72" hidden="1" outlineLevel="1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  <c r="N72" s="1" t="n"/>
      <c r="O72" s="1" t="n"/>
      <c r="P72" s="1" t="n"/>
      <c r="Q72" s="1" t="n"/>
      <c r="R72" s="1" t="n"/>
      <c r="S72" s="1" t="n"/>
      <c r="T72" s="1" t="n"/>
    </row>
    <row r="73" hidden="1" outlineLevel="1">
      <c r="A73" s="1" t="n"/>
      <c r="B73" s="17" t="inlineStr">
        <is>
          <t>Total Equity Required (Uses − Debt)</t>
        </is>
      </c>
      <c r="C73" s="12">
        <f>MAX(0,'Summary &amp; Assumptions'!$H$71-'Summary &amp; Assumptions'!$C$68-'Summary &amp; Assumptions'!$C$69-'Summary &amp; Assumptions'!$C$70)</f>
        <v/>
      </c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  <c r="N73" s="1" t="n"/>
      <c r="O73" s="1" t="n"/>
      <c r="P73" s="1" t="n"/>
      <c r="Q73" s="1" t="n"/>
      <c r="R73" s="1" t="n"/>
      <c r="S73" s="1" t="n"/>
      <c r="T73" s="1" t="n"/>
    </row>
    <row r="74" hidden="1" outlineLevel="1">
      <c r="A74" s="1" t="n"/>
      <c r="B74" s="17" t="inlineStr">
        <is>
          <t>Equity at Close (excludes renovation)</t>
        </is>
      </c>
      <c r="C74" s="12">
        <f>'Summary &amp; Assumptions'!$H$6+'Summary &amp; Assumptions'!$H$13+'Summary &amp; Assumptions'!$H$68+'Summary &amp; Assumptions'!$H$69-'Summary &amp; Assumptions'!$C$68-'Summary &amp; Assumptions'!$C$69-'Summary &amp; Assumptions'!$C$70</f>
        <v/>
      </c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  <c r="N74" s="1" t="n"/>
      <c r="O74" s="1" t="n"/>
      <c r="P74" s="1" t="n"/>
      <c r="Q74" s="1" t="n"/>
      <c r="R74" s="1" t="n"/>
      <c r="S74" s="1" t="n"/>
      <c r="T74" s="1" t="n"/>
    </row>
  </sheetData>
  <sheetProtection selectLockedCells="1" selectUnlockedCells="0" algorithmName="SHA-512" sheet="1" objects="1" insertRows="1" insertHyperlinks="1" autoFilter="1" scenarios="1" formatColumns="0" deleteColumns="1" insertColumns="1" pivotTables="1" deleteRows="1" formatCells="0" saltValue="kR2Lz1QJEyJLiHJBsVqNvQ==" formatRows="0" sort="1" spinCount="100000" hashValue="Npj19r5N85qwBCk4c3p/jsOKtxM6e1g92r/EaiYi0mQDXZkMNPqE1mHXM8k0HpofVJF1JugduiuQXHm1M5sHLA=="/>
  <conditionalFormatting sqref="C40:H40">
    <cfRule type="expression" priority="1" dxfId="0" stopIfTrue="0">
      <formula>C$39="Floating"</formula>
    </cfRule>
  </conditionalFormatting>
  <conditionalFormatting sqref="C41:H45">
    <cfRule type="expression" priority="2" dxfId="0" stopIfTrue="0">
      <formula>C$39="Fixed"</formula>
    </cfRule>
  </conditionalFormatting>
  <conditionalFormatting sqref="C32:H49">
    <cfRule type="expression" priority="3" dxfId="0" stopIfTrue="0">
      <formula>C$31="No"</formula>
    </cfRule>
  </conditionalFormatting>
  <conditionalFormatting sqref="C47:H47">
    <cfRule type="expression" priority="4" dxfId="0" stopIfTrue="0">
      <formula>C$46&lt;&gt;"IO then Amortizing"</formula>
    </cfRule>
  </conditionalFormatting>
  <conditionalFormatting sqref="C48:H48">
    <cfRule type="expression" priority="5" dxfId="0" stopIfTrue="0">
      <formula>C$46="Interest Only"</formula>
    </cfRule>
  </conditionalFormatting>
  <dataValidations count="8">
    <dataValidation sqref="C9" showDropDown="0" showInputMessage="0" showErrorMessage="0" allowBlank="1" type="list">
      <formula1>=lst_states</formula1>
    </dataValidation>
    <dataValidation sqref="M6" showDropDown="0" showInputMessage="0" showErrorMessage="0" allowBlank="1" type="list">
      <formula1>=lst_exit_basis</formula1>
    </dataValidation>
    <dataValidation sqref="C53" showDropDown="0" showInputMessage="0" showErrorMessage="0" allowBlank="1" type="list">
      <formula1>=lst_tax_method</formula1>
    </dataValidation>
    <dataValidation sqref="C31:H31" showDropDown="0" showInputMessage="0" showErrorMessage="0" allowBlank="1" type="list">
      <formula1>=lst_yn</formula1>
    </dataValidation>
    <dataValidation sqref="C32:H32" showDropDown="0" showInputMessage="0" showErrorMessage="0" allowBlank="1" type="list">
      <formula1>=lst_loan_sizing</formula1>
    </dataValidation>
    <dataValidation sqref="C39:H39" showDropDown="0" showInputMessage="0" showErrorMessage="0" allowBlank="1" type="list">
      <formula1>=lst_rate_type</formula1>
    </dataValidation>
    <dataValidation sqref="C41:H41" showDropDown="0" showInputMessage="0" showErrorMessage="0" allowBlank="1" type="list">
      <formula1>=lst_index</formula1>
    </dataValidation>
    <dataValidation sqref="C46:H46" showDropDown="0" showInputMessage="0" showErrorMessage="0" allowBlank="1" type="list">
      <formula1>=lst_loan_type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4164B0"/>
    <outlinePr summaryBelow="1" summaryRight="1"/>
    <pageSetUpPr/>
  </sheetPr>
  <dimension ref="A1:T65"/>
  <sheetViews>
    <sheetView showGridLines="0" workbookViewId="0">
      <pane xSplit="2" ySplit="12" topLeftCell="C13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2" customWidth="1" style="1" min="1" max="1"/>
    <col width="32" customWidth="1" style="1" min="2" max="2"/>
    <col width="2" customWidth="1" style="1" min="3" max="3"/>
    <col width="13" customWidth="1" style="1" min="4" max="4"/>
    <col width="12" customWidth="1" style="1" min="5" max="5"/>
    <col width="12" customWidth="1" style="1" min="6" max="6"/>
    <col width="12" customWidth="1" style="1" min="7" max="7"/>
    <col width="12" customWidth="1" style="1" min="8" max="8"/>
    <col width="12" customWidth="1" style="1" min="9" max="9"/>
    <col width="12" customWidth="1" style="1" min="10" max="10"/>
    <col width="12" customWidth="1" style="1" min="11" max="11"/>
    <col width="12" customWidth="1" style="1" min="12" max="12"/>
    <col width="12" customWidth="1" style="1" min="13" max="13"/>
    <col width="12" customWidth="1" style="1" min="14" max="14"/>
    <col width="12" customWidth="1" style="1" min="15" max="15"/>
    <col width="12" customWidth="1" style="1" min="16" max="16"/>
    <col width="12" customWidth="1" style="1" min="17" max="17"/>
    <col width="12" customWidth="1" style="1" min="18" max="18"/>
    <col width="12" customWidth="1" style="1" min="19" max="19"/>
    <col width="12" customWidth="1" style="1" min="20" max="20"/>
    <col width="13" customWidth="1" style="1" min="21" max="21"/>
    <col width="13" customWidth="1" style="1" min="22" max="22"/>
    <col width="13" customWidth="1" style="1" min="23" max="23"/>
    <col width="13" customWidth="1" style="1" min="24" max="24"/>
    <col width="13" customWidth="1" style="1" min="25" max="25"/>
    <col width="13" customWidth="1" style="1" min="26" max="26"/>
    <col width="13" customWidth="1" style="1" min="27" max="27"/>
    <col width="13" customWidth="1" style="1" min="28" max="28"/>
    <col width="13" customWidth="1" style="1" min="29" max="29"/>
    <col width="13" customWidth="1" style="1" min="30" max="30"/>
    <col width="13" customWidth="1" style="1" min="31" max="31"/>
    <col width="13" customWidth="1" style="1" min="32" max="32"/>
    <col width="13" customWidth="1" style="1" min="33" max="33"/>
    <col width="13" customWidth="1" style="1" min="34" max="34"/>
    <col width="13" customWidth="1" style="1" min="35" max="35"/>
    <col width="13" customWidth="1" style="1" min="36" max="36"/>
    <col width="13" customWidth="1" style="1" min="37" max="37"/>
    <col width="13" customWidth="1" style="1" min="38" max="38"/>
    <col width="13" customWidth="1" style="1" min="39" max="39"/>
    <col width="13" customWidth="1" style="1" min="40" max="40"/>
    <col width="13" customWidth="1" style="1" min="41" max="41"/>
    <col width="13" customWidth="1" style="1" min="42" max="42"/>
    <col width="13" customWidth="1" style="1" min="43" max="43"/>
    <col width="13" customWidth="1" style="1" min="44" max="44"/>
    <col width="13" customWidth="1" style="1" min="45" max="45"/>
    <col width="13" customWidth="1" style="1" min="46" max="46"/>
    <col width="13" customWidth="1" style="1" min="47" max="47"/>
    <col width="13" customWidth="1" style="1" min="48" max="48"/>
    <col width="13" customWidth="1" style="1" min="49" max="49"/>
  </cols>
  <sheetData>
    <row r="1" ht="46" customHeight="1">
      <c r="A1" s="1" t="n"/>
      <c r="B1" s="2" t="n"/>
      <c r="C1" s="1" t="n"/>
      <c r="D1" s="3">
        <f>IF('Summary &amp; Assumptions'!$C$6="",IFERROR(LEFT('Summary &amp; Assumptions'!$C$7,FIND(",",'Summary &amp; Assumptions'!$C$7)-1),'Summary &amp; Assumptions'!$C$7),'Summary &amp; Assumptions'!$C$6)&amp;", "&amp;'Summary &amp; Assumptions'!$C$8&amp;", "&amp;'Summary &amp; Assumptions'!$C$9&amp;" - "&amp;'Summary &amp; Assumptions'!$C$11&amp;" Units - Built in "&amp;'Summary &amp; Assumptions'!$C$12</f>
        <v/>
      </c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</row>
    <row r="2">
      <c r="A2" s="1" t="n"/>
      <c r="B2" s="4" t="inlineStr">
        <is>
          <t>Cash Flow</t>
        </is>
      </c>
      <c r="C2" s="1" t="n"/>
      <c r="D2" s="5" t="inlineStr">
        <is>
          <t>View Dashboard on Slung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</row>
    <row r="3">
      <c r="A3" s="1" t="n"/>
      <c r="B3" s="3" t="inlineStr">
        <is>
          <t>Everything is on this screen. No engine below — each row reads the rows above it.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</row>
    <row r="4">
      <c r="A4" s="1" t="n"/>
      <c r="B4" s="6" t="inlineStr">
        <is>
          <t>Growth Rates (annual)</t>
        </is>
      </c>
      <c r="C4" s="7" t="n"/>
      <c r="D4" s="7" t="n"/>
      <c r="E4" s="7" t="n"/>
      <c r="F4" s="7" t="n"/>
      <c r="G4" s="7" t="n"/>
      <c r="H4" s="7" t="n"/>
      <c r="I4" s="7" t="n"/>
      <c r="J4" s="7" t="n"/>
      <c r="K4" s="7" t="n"/>
      <c r="L4" s="7" t="n"/>
      <c r="M4" s="7" t="n"/>
      <c r="N4" s="1" t="n"/>
      <c r="O4" s="1" t="n"/>
      <c r="P4" s="1" t="n"/>
      <c r="Q4" s="1" t="n"/>
      <c r="R4" s="1" t="n"/>
      <c r="S4" s="1" t="n"/>
      <c r="T4" s="1" t="n"/>
    </row>
    <row r="5">
      <c r="A5" s="1" t="n"/>
      <c r="B5" s="1" t="n"/>
      <c r="C5" s="1" t="n"/>
      <c r="D5" s="1" t="n"/>
      <c r="E5" s="1" t="n"/>
      <c r="F5" s="34" t="inlineStr">
        <is>
          <t>Yr 1</t>
        </is>
      </c>
      <c r="G5" s="34" t="inlineStr">
        <is>
          <t>Yr 2</t>
        </is>
      </c>
      <c r="H5" s="34" t="inlineStr">
        <is>
          <t>Yr 3</t>
        </is>
      </c>
      <c r="I5" s="34" t="inlineStr">
        <is>
          <t>Yr 4</t>
        </is>
      </c>
      <c r="J5" s="34" t="inlineStr">
        <is>
          <t>Yr 5</t>
        </is>
      </c>
      <c r="K5" s="34" t="inlineStr">
        <is>
          <t>Yr 6</t>
        </is>
      </c>
      <c r="L5" s="34" t="inlineStr">
        <is>
          <t>Yr 7</t>
        </is>
      </c>
      <c r="M5" s="34" t="inlineStr">
        <is>
          <t>Yr 8</t>
        </is>
      </c>
      <c r="N5" s="34" t="inlineStr">
        <is>
          <t>Yr 9</t>
        </is>
      </c>
      <c r="O5" s="34" t="inlineStr">
        <is>
          <t>Yr 10</t>
        </is>
      </c>
      <c r="P5" s="34" t="inlineStr">
        <is>
          <t>After</t>
        </is>
      </c>
      <c r="Q5" s="1" t="n"/>
      <c r="R5" s="1" t="n"/>
      <c r="S5" s="1" t="n"/>
      <c r="T5" s="1" t="n"/>
    </row>
    <row r="6">
      <c r="A6" s="1" t="n"/>
      <c r="B6" s="8" t="inlineStr">
        <is>
          <t>Residential Rent Growth</t>
        </is>
      </c>
      <c r="C6" s="1" t="n"/>
      <c r="D6" s="1" t="n"/>
      <c r="E6" s="1" t="n"/>
      <c r="F6" s="35" t="n">
        <v>0.03</v>
      </c>
      <c r="G6" s="35" t="n">
        <v>0.03</v>
      </c>
      <c r="H6" s="35" t="n">
        <v>0.03</v>
      </c>
      <c r="I6" s="35" t="n">
        <v>0.03</v>
      </c>
      <c r="J6" s="35" t="n">
        <v>0.03</v>
      </c>
      <c r="K6" s="35" t="n">
        <v>0.03</v>
      </c>
      <c r="L6" s="35" t="n">
        <v>0.03</v>
      </c>
      <c r="M6" s="35" t="n">
        <v>0.03</v>
      </c>
      <c r="N6" s="35" t="n">
        <v>0.03</v>
      </c>
      <c r="O6" s="35" t="n">
        <v>0.03</v>
      </c>
      <c r="P6" s="35" t="n">
        <v>0.03</v>
      </c>
      <c r="Q6" s="36">
        <f>$P$6</f>
        <v/>
      </c>
      <c r="R6" s="36">
        <f>$P$6</f>
        <v/>
      </c>
      <c r="S6" s="36">
        <f>$P$6</f>
        <v/>
      </c>
      <c r="T6" s="36">
        <f>$P$6</f>
        <v/>
      </c>
    </row>
    <row r="7">
      <c r="A7" s="1" t="n"/>
      <c r="B7" s="8" t="inlineStr">
        <is>
          <t>Other Income Growth</t>
        </is>
      </c>
      <c r="C7" s="1" t="n"/>
      <c r="D7" s="1" t="n"/>
      <c r="E7" s="1" t="n"/>
      <c r="F7" s="35" t="n">
        <v>0.03</v>
      </c>
      <c r="G7" s="35" t="n">
        <v>0.03</v>
      </c>
      <c r="H7" s="35" t="n">
        <v>0.03</v>
      </c>
      <c r="I7" s="35" t="n">
        <v>0.03</v>
      </c>
      <c r="J7" s="35" t="n">
        <v>0.03</v>
      </c>
      <c r="K7" s="35" t="n">
        <v>0.03</v>
      </c>
      <c r="L7" s="35" t="n">
        <v>0.03</v>
      </c>
      <c r="M7" s="35" t="n">
        <v>0.03</v>
      </c>
      <c r="N7" s="35" t="n">
        <v>0.03</v>
      </c>
      <c r="O7" s="35" t="n">
        <v>0.03</v>
      </c>
      <c r="P7" s="35" t="n">
        <v>0.03</v>
      </c>
      <c r="Q7" s="36">
        <f>$P$7</f>
        <v/>
      </c>
      <c r="R7" s="36">
        <f>$P$7</f>
        <v/>
      </c>
      <c r="S7" s="36">
        <f>$P$7</f>
        <v/>
      </c>
      <c r="T7" s="36">
        <f>$P$7</f>
        <v/>
      </c>
    </row>
    <row r="8">
      <c r="A8" s="1" t="n"/>
      <c r="B8" s="8" t="inlineStr">
        <is>
          <t>Expense Growth</t>
        </is>
      </c>
      <c r="C8" s="1" t="n"/>
      <c r="D8" s="1" t="n"/>
      <c r="E8" s="1" t="n"/>
      <c r="F8" s="35" t="n">
        <v>0.025</v>
      </c>
      <c r="G8" s="35" t="n">
        <v>0.025</v>
      </c>
      <c r="H8" s="35" t="n">
        <v>0.025</v>
      </c>
      <c r="I8" s="35" t="n">
        <v>0.025</v>
      </c>
      <c r="J8" s="35" t="n">
        <v>0.025</v>
      </c>
      <c r="K8" s="35" t="n">
        <v>0.025</v>
      </c>
      <c r="L8" s="35" t="n">
        <v>0.025</v>
      </c>
      <c r="M8" s="35" t="n">
        <v>0.025</v>
      </c>
      <c r="N8" s="35" t="n">
        <v>0.025</v>
      </c>
      <c r="O8" s="35" t="n">
        <v>0.025</v>
      </c>
      <c r="P8" s="35" t="n">
        <v>0.025</v>
      </c>
      <c r="Q8" s="36">
        <f>$P$8</f>
        <v/>
      </c>
      <c r="R8" s="36">
        <f>$P$8</f>
        <v/>
      </c>
      <c r="S8" s="36">
        <f>$P$8</f>
        <v/>
      </c>
      <c r="T8" s="36">
        <f>$P$8</f>
        <v/>
      </c>
    </row>
    <row r="9">
      <c r="A9" s="1" t="n"/>
      <c r="B9" s="8" t="inlineStr">
        <is>
          <t>Stabilized Vacancy (Market Estimate P&amp;L)</t>
        </is>
      </c>
      <c r="C9" s="1" t="n"/>
      <c r="D9" s="1" t="n"/>
      <c r="E9" s="1" t="n"/>
      <c r="F9" s="35" t="n">
        <v>0.05</v>
      </c>
      <c r="G9" s="35" t="n">
        <v>0.05</v>
      </c>
      <c r="H9" s="35" t="n">
        <v>0.05</v>
      </c>
      <c r="I9" s="35" t="n">
        <v>0.05</v>
      </c>
      <c r="J9" s="35" t="n">
        <v>0.05</v>
      </c>
      <c r="K9" s="35" t="n">
        <v>0.05</v>
      </c>
      <c r="L9" s="35" t="n">
        <v>0.05</v>
      </c>
      <c r="M9" s="35" t="n">
        <v>0.05</v>
      </c>
      <c r="N9" s="35" t="n">
        <v>0.05</v>
      </c>
      <c r="O9" s="35" t="n">
        <v>0.05</v>
      </c>
      <c r="P9" s="35" t="n">
        <v>0.05</v>
      </c>
      <c r="Q9" s="36">
        <f>$P$9</f>
        <v/>
      </c>
      <c r="R9" s="36">
        <f>$P$9</f>
        <v/>
      </c>
      <c r="S9" s="36">
        <f>$P$9</f>
        <v/>
      </c>
      <c r="T9" s="36">
        <f>$P$9</f>
        <v/>
      </c>
    </row>
    <row r="10">
      <c r="A10" s="1" t="n"/>
      <c r="B10" s="1" t="n"/>
      <c r="C10" s="1" t="n"/>
      <c r="D10" s="1" t="n"/>
      <c r="E10" s="8" t="inlineStr">
        <is>
          <t>Underwriting Scenario (P&amp;L):</t>
        </is>
      </c>
      <c r="F10" s="1" t="n"/>
      <c r="G10" s="37">
        <f>'P&amp;L'!$AB$4</f>
        <v/>
      </c>
      <c r="H10" s="1" t="n"/>
      <c r="I10" s="1" t="n"/>
      <c r="J10" s="1" t="n"/>
      <c r="K10" s="1" t="n"/>
      <c r="L10" s="1" t="n"/>
      <c r="M10" s="1" t="n"/>
      <c r="N10" s="1" t="n"/>
      <c r="O10" s="1" t="n"/>
      <c r="P10" s="1" t="n"/>
      <c r="Q10" s="1" t="n"/>
      <c r="R10" s="1" t="n"/>
      <c r="S10" s="1" t="n"/>
      <c r="T10" s="1" t="n"/>
    </row>
    <row r="11">
      <c r="A11" s="1" t="n"/>
      <c r="B11" s="6" t="inlineStr">
        <is>
          <t>Operating Cash Flow</t>
        </is>
      </c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 t="n"/>
      <c r="O11" s="7" t="n"/>
      <c r="P11" s="7" t="n"/>
      <c r="Q11" s="7" t="n"/>
      <c r="R11" s="7" t="n"/>
      <c r="S11" s="1" t="n"/>
      <c r="T11" s="1" t="n"/>
    </row>
    <row r="12">
      <c r="A12" s="1" t="n"/>
      <c r="B12" s="1" t="n"/>
      <c r="C12" s="1" t="n"/>
      <c r="D12" s="1" t="n"/>
      <c r="E12" s="22" t="inlineStr">
        <is>
          <t>Year 0</t>
        </is>
      </c>
      <c r="F12" s="22">
        <f>IF(1&gt;'Summary &amp; Assumptions'!$C$23+1,"",IF(1='Summary &amp; Assumptions'!$C$23+1,"Year 1 (exit value)","Year 1"))</f>
        <v/>
      </c>
      <c r="G12" s="22">
        <f>IF(2&gt;'Summary &amp; Assumptions'!$C$23+1,"",IF(2='Summary &amp; Assumptions'!$C$23+1,"Year 2 (exit value)","Year 2"))</f>
        <v/>
      </c>
      <c r="H12" s="22">
        <f>IF(3&gt;'Summary &amp; Assumptions'!$C$23+1,"",IF(3='Summary &amp; Assumptions'!$C$23+1,"Year 3 (exit value)","Year 3"))</f>
        <v/>
      </c>
      <c r="I12" s="22">
        <f>IF(4&gt;'Summary &amp; Assumptions'!$C$23+1,"",IF(4='Summary &amp; Assumptions'!$C$23+1,"Year 4 (exit value)","Year 4"))</f>
        <v/>
      </c>
      <c r="J12" s="22">
        <f>IF(5&gt;'Summary &amp; Assumptions'!$C$23+1,"",IF(5='Summary &amp; Assumptions'!$C$23+1,"Year 5 (exit value)","Year 5"))</f>
        <v/>
      </c>
      <c r="K12" s="22">
        <f>IF(6&gt;'Summary &amp; Assumptions'!$C$23+1,"",IF(6='Summary &amp; Assumptions'!$C$23+1,"Year 6 (exit value)","Year 6"))</f>
        <v/>
      </c>
      <c r="L12" s="22">
        <f>IF(7&gt;'Summary &amp; Assumptions'!$C$23+1,"",IF(7='Summary &amp; Assumptions'!$C$23+1,"Year 7 (exit value)","Year 7"))</f>
        <v/>
      </c>
      <c r="M12" s="22">
        <f>IF(8&gt;'Summary &amp; Assumptions'!$C$23+1,"",IF(8='Summary &amp; Assumptions'!$C$23+1,"Year 8 (exit value)","Year 8"))</f>
        <v/>
      </c>
      <c r="N12" s="22">
        <f>IF(9&gt;'Summary &amp; Assumptions'!$C$23+1,"",IF(9='Summary &amp; Assumptions'!$C$23+1,"Year 9 (exit value)","Year 9"))</f>
        <v/>
      </c>
      <c r="O12" s="22">
        <f>IF(10&gt;'Summary &amp; Assumptions'!$C$23+1,"",IF(10='Summary &amp; Assumptions'!$C$23+1,"Year 10 (exit value)","Year 10"))</f>
        <v/>
      </c>
      <c r="P12" s="22">
        <f>IF(11&gt;'Summary &amp; Assumptions'!$C$23+1,"",IF(11='Summary &amp; Assumptions'!$C$23+1,"Year 11 (exit value)","Year 11"))</f>
        <v/>
      </c>
      <c r="Q12" s="22">
        <f>IF(12&gt;'Summary &amp; Assumptions'!$C$23+1,"",IF(12='Summary &amp; Assumptions'!$C$23+1,"Year 12 (exit value)","Year 12"))</f>
        <v/>
      </c>
      <c r="R12" s="22">
        <f>IF(13&gt;'Summary &amp; Assumptions'!$C$23+1,"",IF(13='Summary &amp; Assumptions'!$C$23+1,"Year 13 (exit value)","Year 13"))</f>
        <v/>
      </c>
      <c r="S12" s="22">
        <f>IF(14&gt;'Summary &amp; Assumptions'!$C$23+1,"",IF(14='Summary &amp; Assumptions'!$C$23+1,"Year 14 (exit value)","Year 14"))</f>
        <v/>
      </c>
      <c r="T12" s="22">
        <f>IF(15&gt;'Summary &amp; Assumptions'!$C$23+1,"",IF(15='Summary &amp; Assumptions'!$C$23+1,"Year 15 (exit value)","Year 15"))</f>
        <v/>
      </c>
    </row>
    <row r="13">
      <c r="A13" s="1" t="n"/>
      <c r="B13" s="8" t="inlineStr">
        <is>
          <t>Gross Potential Rent (market)</t>
        </is>
      </c>
      <c r="C13" s="1" t="n"/>
      <c r="D13" s="1" t="n"/>
      <c r="E13" s="1" t="n"/>
      <c r="F13" s="38">
        <f>IF(1&gt;'Summary &amp; Assumptions'!$C$23+1,"",'P&amp;L'!$Z$8)</f>
        <v/>
      </c>
      <c r="G13" s="38">
        <f>IF(2&gt;'Summary &amp; Assumptions'!$C$23+1,"",F13*(1+G$6))</f>
        <v/>
      </c>
      <c r="H13" s="38">
        <f>IF(3&gt;'Summary &amp; Assumptions'!$C$23+1,"",G13*(1+H$6))</f>
        <v/>
      </c>
      <c r="I13" s="38">
        <f>IF(4&gt;'Summary &amp; Assumptions'!$C$23+1,"",H13*(1+I$6))</f>
        <v/>
      </c>
      <c r="J13" s="38">
        <f>IF(5&gt;'Summary &amp; Assumptions'!$C$23+1,"",I13*(1+J$6))</f>
        <v/>
      </c>
      <c r="K13" s="38">
        <f>IF(6&gt;'Summary &amp; Assumptions'!$C$23+1,"",J13*(1+K$6))</f>
        <v/>
      </c>
      <c r="L13" s="38">
        <f>IF(7&gt;'Summary &amp; Assumptions'!$C$23+1,"",K13*(1+L$6))</f>
        <v/>
      </c>
      <c r="M13" s="38">
        <f>IF(8&gt;'Summary &amp; Assumptions'!$C$23+1,"",L13*(1+M$6))</f>
        <v/>
      </c>
      <c r="N13" s="38">
        <f>IF(9&gt;'Summary &amp; Assumptions'!$C$23+1,"",M13*(1+N$6))</f>
        <v/>
      </c>
      <c r="O13" s="38">
        <f>IF(10&gt;'Summary &amp; Assumptions'!$C$23+1,"",N13*(1+O$6))</f>
        <v/>
      </c>
      <c r="P13" s="38">
        <f>IF(11&gt;'Summary &amp; Assumptions'!$C$23+1,"",O13*(1+P$6))</f>
        <v/>
      </c>
      <c r="Q13" s="38">
        <f>IF(12&gt;'Summary &amp; Assumptions'!$C$23+1,"",P13*(1+Q$6))</f>
        <v/>
      </c>
      <c r="R13" s="38">
        <f>IF(13&gt;'Summary &amp; Assumptions'!$C$23+1,"",Q13*(1+R$6))</f>
        <v/>
      </c>
      <c r="S13" s="38">
        <f>IF(14&gt;'Summary &amp; Assumptions'!$C$23+1,"",R13*(1+S$6))</f>
        <v/>
      </c>
      <c r="T13" s="38">
        <f>IF(15&gt;'Summary &amp; Assumptions'!$C$23+1,"",S13*(1+T$6))</f>
        <v/>
      </c>
    </row>
    <row r="14">
      <c r="A14" s="1" t="n"/>
      <c r="B14" s="8" t="inlineStr">
        <is>
          <t>Less: Economic Vacancy (scenario)</t>
        </is>
      </c>
      <c r="C14" s="1" t="n"/>
      <c r="D14" s="1" t="n"/>
      <c r="E14" s="1" t="n"/>
      <c r="F14" s="38">
        <f>IF(1&gt;'Summary &amp; Assumptions'!$C$23+1,"",-('P&amp;L'!$Z$8+'P&amp;L'!$Z$14+'P&amp;L'!$Z$20+'P&amp;L'!$Z$21-'P&amp;L'!$Z$28))</f>
        <v/>
      </c>
      <c r="G14" s="38">
        <f>IF(2&gt;'Summary &amp; Assumptions'!$C$23+1,"",IFERROR($F$14/$F$13,0)*G13)</f>
        <v/>
      </c>
      <c r="H14" s="38">
        <f>IF(3&gt;'Summary &amp; Assumptions'!$C$23+1,"",IFERROR($F$14/$F$13,0)*H13)</f>
        <v/>
      </c>
      <c r="I14" s="38">
        <f>IF(4&gt;'Summary &amp; Assumptions'!$C$23+1,"",IFERROR($F$14/$F$13,0)*I13)</f>
        <v/>
      </c>
      <c r="J14" s="38">
        <f>IF(5&gt;'Summary &amp; Assumptions'!$C$23+1,"",IFERROR($F$14/$F$13,0)*J13)</f>
        <v/>
      </c>
      <c r="K14" s="38">
        <f>IF(6&gt;'Summary &amp; Assumptions'!$C$23+1,"",IFERROR($F$14/$F$13,0)*K13)</f>
        <v/>
      </c>
      <c r="L14" s="38">
        <f>IF(7&gt;'Summary &amp; Assumptions'!$C$23+1,"",IFERROR($F$14/$F$13,0)*L13)</f>
        <v/>
      </c>
      <c r="M14" s="38">
        <f>IF(8&gt;'Summary &amp; Assumptions'!$C$23+1,"",IFERROR($F$14/$F$13,0)*M13)</f>
        <v/>
      </c>
      <c r="N14" s="38">
        <f>IF(9&gt;'Summary &amp; Assumptions'!$C$23+1,"",IFERROR($F$14/$F$13,0)*N13)</f>
        <v/>
      </c>
      <c r="O14" s="38">
        <f>IF(10&gt;'Summary &amp; Assumptions'!$C$23+1,"",IFERROR($F$14/$F$13,0)*O13)</f>
        <v/>
      </c>
      <c r="P14" s="38">
        <f>IF(11&gt;'Summary &amp; Assumptions'!$C$23+1,"",IFERROR($F$14/$F$13,0)*P13)</f>
        <v/>
      </c>
      <c r="Q14" s="38">
        <f>IF(12&gt;'Summary &amp; Assumptions'!$C$23+1,"",IFERROR($F$14/$F$13,0)*Q13)</f>
        <v/>
      </c>
      <c r="R14" s="38">
        <f>IF(13&gt;'Summary &amp; Assumptions'!$C$23+1,"",IFERROR($F$14/$F$13,0)*R13)</f>
        <v/>
      </c>
      <c r="S14" s="38">
        <f>IF(14&gt;'Summary &amp; Assumptions'!$C$23+1,"",IFERROR($F$14/$F$13,0)*S13)</f>
        <v/>
      </c>
      <c r="T14" s="38">
        <f>IF(15&gt;'Summary &amp; Assumptions'!$C$23+1,"",IFERROR($F$14/$F$13,0)*T13)</f>
        <v/>
      </c>
    </row>
    <row r="15">
      <c r="A15" s="1" t="n"/>
      <c r="B15" s="8" t="inlineStr">
        <is>
          <t>Other Income</t>
        </is>
      </c>
      <c r="C15" s="1" t="n"/>
      <c r="D15" s="1" t="n"/>
      <c r="E15" s="1" t="n"/>
      <c r="F15" s="38">
        <f>IF(1&gt;'Summary &amp; Assumptions'!$C$23+1,"",'P&amp;L'!$Z$14+'P&amp;L'!$Z$20+'P&amp;L'!$Z$21)</f>
        <v/>
      </c>
      <c r="G15" s="38">
        <f>IF(2&gt;'Summary &amp; Assumptions'!$C$23+1,"",F15*(1+G$7))</f>
        <v/>
      </c>
      <c r="H15" s="38">
        <f>IF(3&gt;'Summary &amp; Assumptions'!$C$23+1,"",G15*(1+H$7))</f>
        <v/>
      </c>
      <c r="I15" s="38">
        <f>IF(4&gt;'Summary &amp; Assumptions'!$C$23+1,"",H15*(1+I$7))</f>
        <v/>
      </c>
      <c r="J15" s="38">
        <f>IF(5&gt;'Summary &amp; Assumptions'!$C$23+1,"",I15*(1+J$7))</f>
        <v/>
      </c>
      <c r="K15" s="38">
        <f>IF(6&gt;'Summary &amp; Assumptions'!$C$23+1,"",J15*(1+K$7))</f>
        <v/>
      </c>
      <c r="L15" s="38">
        <f>IF(7&gt;'Summary &amp; Assumptions'!$C$23+1,"",K15*(1+L$7))</f>
        <v/>
      </c>
      <c r="M15" s="38">
        <f>IF(8&gt;'Summary &amp; Assumptions'!$C$23+1,"",L15*(1+M$7))</f>
        <v/>
      </c>
      <c r="N15" s="38">
        <f>IF(9&gt;'Summary &amp; Assumptions'!$C$23+1,"",M15*(1+N$7))</f>
        <v/>
      </c>
      <c r="O15" s="38">
        <f>IF(10&gt;'Summary &amp; Assumptions'!$C$23+1,"",N15*(1+O$7))</f>
        <v/>
      </c>
      <c r="P15" s="38">
        <f>IF(11&gt;'Summary &amp; Assumptions'!$C$23+1,"",O15*(1+P$7))</f>
        <v/>
      </c>
      <c r="Q15" s="38">
        <f>IF(12&gt;'Summary &amp; Assumptions'!$C$23+1,"",P15*(1+Q$7))</f>
        <v/>
      </c>
      <c r="R15" s="38">
        <f>IF(13&gt;'Summary &amp; Assumptions'!$C$23+1,"",Q15*(1+R$7))</f>
        <v/>
      </c>
      <c r="S15" s="38">
        <f>IF(14&gt;'Summary &amp; Assumptions'!$C$23+1,"",R15*(1+S$7))</f>
        <v/>
      </c>
      <c r="T15" s="38">
        <f>IF(15&gt;'Summary &amp; Assumptions'!$C$23+1,"",S15*(1+T$7))</f>
        <v/>
      </c>
    </row>
    <row r="16">
      <c r="A16" s="1" t="n"/>
      <c r="B16" s="17" t="inlineStr">
        <is>
          <t>Effective Gross Revenue</t>
        </is>
      </c>
      <c r="C16" s="1" t="n"/>
      <c r="D16" s="1" t="n"/>
      <c r="E16" s="1" t="n"/>
      <c r="F16" s="39">
        <f>IF(1&gt;'Summary &amp; Assumptions'!$C$23+1,"",F13+F14+F15)</f>
        <v/>
      </c>
      <c r="G16" s="39">
        <f>IF(2&gt;'Summary &amp; Assumptions'!$C$23+1,"",G13+G14+G15)</f>
        <v/>
      </c>
      <c r="H16" s="39">
        <f>IF(3&gt;'Summary &amp; Assumptions'!$C$23+1,"",H13+H14+H15)</f>
        <v/>
      </c>
      <c r="I16" s="39">
        <f>IF(4&gt;'Summary &amp; Assumptions'!$C$23+1,"",I13+I14+I15)</f>
        <v/>
      </c>
      <c r="J16" s="39">
        <f>IF(5&gt;'Summary &amp; Assumptions'!$C$23+1,"",J13+J14+J15)</f>
        <v/>
      </c>
      <c r="K16" s="39">
        <f>IF(6&gt;'Summary &amp; Assumptions'!$C$23+1,"",K13+K14+K15)</f>
        <v/>
      </c>
      <c r="L16" s="39">
        <f>IF(7&gt;'Summary &amp; Assumptions'!$C$23+1,"",L13+L14+L15)</f>
        <v/>
      </c>
      <c r="M16" s="39">
        <f>IF(8&gt;'Summary &amp; Assumptions'!$C$23+1,"",M13+M14+M15)</f>
        <v/>
      </c>
      <c r="N16" s="39">
        <f>IF(9&gt;'Summary &amp; Assumptions'!$C$23+1,"",N13+N14+N15)</f>
        <v/>
      </c>
      <c r="O16" s="39">
        <f>IF(10&gt;'Summary &amp; Assumptions'!$C$23+1,"",O13+O14+O15)</f>
        <v/>
      </c>
      <c r="P16" s="39">
        <f>IF(11&gt;'Summary &amp; Assumptions'!$C$23+1,"",P13+P14+P15)</f>
        <v/>
      </c>
      <c r="Q16" s="39">
        <f>IF(12&gt;'Summary &amp; Assumptions'!$C$23+1,"",Q13+Q14+Q15)</f>
        <v/>
      </c>
      <c r="R16" s="39">
        <f>IF(13&gt;'Summary &amp; Assumptions'!$C$23+1,"",R13+R14+R15)</f>
        <v/>
      </c>
      <c r="S16" s="39">
        <f>IF(14&gt;'Summary &amp; Assumptions'!$C$23+1,"",S13+S14+S15)</f>
        <v/>
      </c>
      <c r="T16" s="39">
        <f>IF(15&gt;'Summary &amp; Assumptions'!$C$23+1,"",T13+T14+T15)</f>
        <v/>
      </c>
    </row>
    <row r="17">
      <c r="A17" s="1" t="n"/>
      <c r="B17" s="8" t="inlineStr">
        <is>
          <t>Renovation Downtime</t>
        </is>
      </c>
      <c r="C17" s="1" t="n"/>
      <c r="D17" s="1" t="n"/>
      <c r="E17" s="1" t="n"/>
      <c r="F17" s="38">
        <f>IF(1&gt;'Summary &amp; Assumptions'!$C$23+1,"",-'Renovation'!$D$49*(1&gt;='Renovation'!$D$45)*(1&lt;='Renovation'!$D$46))</f>
        <v/>
      </c>
      <c r="G17" s="38">
        <f>IF(2&gt;'Summary &amp; Assumptions'!$C$23+1,"",-'Renovation'!$D$49*(2&gt;='Renovation'!$D$45)*(2&lt;='Renovation'!$D$46))</f>
        <v/>
      </c>
      <c r="H17" s="38">
        <f>IF(3&gt;'Summary &amp; Assumptions'!$C$23+1,"",-'Renovation'!$D$49*(3&gt;='Renovation'!$D$45)*(3&lt;='Renovation'!$D$46))</f>
        <v/>
      </c>
      <c r="I17" s="38">
        <f>IF(4&gt;'Summary &amp; Assumptions'!$C$23+1,"",-'Renovation'!$D$49*(4&gt;='Renovation'!$D$45)*(4&lt;='Renovation'!$D$46))</f>
        <v/>
      </c>
      <c r="J17" s="38">
        <f>IF(5&gt;'Summary &amp; Assumptions'!$C$23+1,"",-'Renovation'!$D$49*(5&gt;='Renovation'!$D$45)*(5&lt;='Renovation'!$D$46))</f>
        <v/>
      </c>
      <c r="K17" s="38">
        <f>IF(6&gt;'Summary &amp; Assumptions'!$C$23+1,"",-'Renovation'!$D$49*(6&gt;='Renovation'!$D$45)*(6&lt;='Renovation'!$D$46))</f>
        <v/>
      </c>
      <c r="L17" s="38">
        <f>IF(7&gt;'Summary &amp; Assumptions'!$C$23+1,"",-'Renovation'!$D$49*(7&gt;='Renovation'!$D$45)*(7&lt;='Renovation'!$D$46))</f>
        <v/>
      </c>
      <c r="M17" s="38">
        <f>IF(8&gt;'Summary &amp; Assumptions'!$C$23+1,"",-'Renovation'!$D$49*(8&gt;='Renovation'!$D$45)*(8&lt;='Renovation'!$D$46))</f>
        <v/>
      </c>
      <c r="N17" s="38">
        <f>IF(9&gt;'Summary &amp; Assumptions'!$C$23+1,"",-'Renovation'!$D$49*(9&gt;='Renovation'!$D$45)*(9&lt;='Renovation'!$D$46))</f>
        <v/>
      </c>
      <c r="O17" s="38">
        <f>IF(10&gt;'Summary &amp; Assumptions'!$C$23+1,"",-'Renovation'!$D$49*(10&gt;='Renovation'!$D$45)*(10&lt;='Renovation'!$D$46))</f>
        <v/>
      </c>
      <c r="P17" s="38">
        <f>IF(11&gt;'Summary &amp; Assumptions'!$C$23+1,"",-'Renovation'!$D$49*(11&gt;='Renovation'!$D$45)*(11&lt;='Renovation'!$D$46))</f>
        <v/>
      </c>
      <c r="Q17" s="38">
        <f>IF(12&gt;'Summary &amp; Assumptions'!$C$23+1,"",-'Renovation'!$D$49*(12&gt;='Renovation'!$D$45)*(12&lt;='Renovation'!$D$46))</f>
        <v/>
      </c>
      <c r="R17" s="38">
        <f>IF(13&gt;'Summary &amp; Assumptions'!$C$23+1,"",-'Renovation'!$D$49*(13&gt;='Renovation'!$D$45)*(13&lt;='Renovation'!$D$46))</f>
        <v/>
      </c>
      <c r="S17" s="38">
        <f>IF(14&gt;'Summary &amp; Assumptions'!$C$23+1,"",-'Renovation'!$D$49*(14&gt;='Renovation'!$D$45)*(14&lt;='Renovation'!$D$46))</f>
        <v/>
      </c>
      <c r="T17" s="38">
        <f>IF(15&gt;'Summary &amp; Assumptions'!$C$23+1,"",-'Renovation'!$D$49*(15&gt;='Renovation'!$D$45)*(15&lt;='Renovation'!$D$46))</f>
        <v/>
      </c>
    </row>
    <row r="18">
      <c r="A18" s="1" t="n"/>
      <c r="B18" s="8" t="inlineStr">
        <is>
          <t>Renovation Premium</t>
        </is>
      </c>
      <c r="C18" s="1" t="n"/>
      <c r="D18" s="1" t="n"/>
      <c r="E18" s="1" t="n"/>
      <c r="F18" s="38">
        <f>IF(1&gt;'Summary &amp; Assumptions'!$C$23+1,"",'Renovation'!$D$50*MIN(1,MAX(0,(2*(1-'Renovation'!$D$45)+1)/(2*'Renovation'!$D$47))))</f>
        <v/>
      </c>
      <c r="G18" s="38">
        <f>IF(2&gt;'Summary &amp; Assumptions'!$C$23+1,"",'Renovation'!$D$50*MIN(1,MAX(0,(2*(2-'Renovation'!$D$45)+1)/(2*'Renovation'!$D$47)))*(1+G$6)^(2-'Renovation'!$D$46))</f>
        <v/>
      </c>
      <c r="H18" s="38">
        <f>IF(3&gt;'Summary &amp; Assumptions'!$C$23+1,"",'Renovation'!$D$50*MIN(1,MAX(0,(2*(3-'Renovation'!$D$45)+1)/(2*'Renovation'!$D$47)))*(1+H$6)^(3-'Renovation'!$D$46))</f>
        <v/>
      </c>
      <c r="I18" s="38">
        <f>IF(4&gt;'Summary &amp; Assumptions'!$C$23+1,"",'Renovation'!$D$50*MIN(1,MAX(0,(2*(4-'Renovation'!$D$45)+1)/(2*'Renovation'!$D$47)))*(1+I$6)^(4-'Renovation'!$D$46))</f>
        <v/>
      </c>
      <c r="J18" s="38">
        <f>IF(5&gt;'Summary &amp; Assumptions'!$C$23+1,"",'Renovation'!$D$50*MIN(1,MAX(0,(2*(5-'Renovation'!$D$45)+1)/(2*'Renovation'!$D$47)))*(1+J$6)^(5-'Renovation'!$D$46))</f>
        <v/>
      </c>
      <c r="K18" s="38">
        <f>IF(6&gt;'Summary &amp; Assumptions'!$C$23+1,"",'Renovation'!$D$50*MIN(1,MAX(0,(2*(6-'Renovation'!$D$45)+1)/(2*'Renovation'!$D$47)))*(1+K$6)^(6-'Renovation'!$D$46))</f>
        <v/>
      </c>
      <c r="L18" s="38">
        <f>IF(7&gt;'Summary &amp; Assumptions'!$C$23+1,"",'Renovation'!$D$50*MIN(1,MAX(0,(2*(7-'Renovation'!$D$45)+1)/(2*'Renovation'!$D$47)))*(1+L$6)^(7-'Renovation'!$D$46))</f>
        <v/>
      </c>
      <c r="M18" s="38">
        <f>IF(8&gt;'Summary &amp; Assumptions'!$C$23+1,"",'Renovation'!$D$50*MIN(1,MAX(0,(2*(8-'Renovation'!$D$45)+1)/(2*'Renovation'!$D$47)))*(1+M$6)^(8-'Renovation'!$D$46))</f>
        <v/>
      </c>
      <c r="N18" s="38">
        <f>IF(9&gt;'Summary &amp; Assumptions'!$C$23+1,"",'Renovation'!$D$50*MIN(1,MAX(0,(2*(9-'Renovation'!$D$45)+1)/(2*'Renovation'!$D$47)))*(1+N$6)^(9-'Renovation'!$D$46))</f>
        <v/>
      </c>
      <c r="O18" s="38">
        <f>IF(10&gt;'Summary &amp; Assumptions'!$C$23+1,"",'Renovation'!$D$50*MIN(1,MAX(0,(2*(10-'Renovation'!$D$45)+1)/(2*'Renovation'!$D$47)))*(1+O$6)^(10-'Renovation'!$D$46))</f>
        <v/>
      </c>
      <c r="P18" s="38">
        <f>IF(11&gt;'Summary &amp; Assumptions'!$C$23+1,"",'Renovation'!$D$50*MIN(1,MAX(0,(2*(11-'Renovation'!$D$45)+1)/(2*'Renovation'!$D$47)))*(1+P$6)^(11-'Renovation'!$D$46))</f>
        <v/>
      </c>
      <c r="Q18" s="38">
        <f>IF(12&gt;'Summary &amp; Assumptions'!$C$23+1,"",'Renovation'!$D$50*MIN(1,MAX(0,(2*(12-'Renovation'!$D$45)+1)/(2*'Renovation'!$D$47)))*(1+Q$6)^(12-'Renovation'!$D$46))</f>
        <v/>
      </c>
      <c r="R18" s="38">
        <f>IF(13&gt;'Summary &amp; Assumptions'!$C$23+1,"",'Renovation'!$D$50*MIN(1,MAX(0,(2*(13-'Renovation'!$D$45)+1)/(2*'Renovation'!$D$47)))*(1+R$6)^(13-'Renovation'!$D$46))</f>
        <v/>
      </c>
      <c r="S18" s="38">
        <f>IF(14&gt;'Summary &amp; Assumptions'!$C$23+1,"",'Renovation'!$D$50*MIN(1,MAX(0,(2*(14-'Renovation'!$D$45)+1)/(2*'Renovation'!$D$47)))*(1+S$6)^(14-'Renovation'!$D$46))</f>
        <v/>
      </c>
      <c r="T18" s="38">
        <f>IF(15&gt;'Summary &amp; Assumptions'!$C$23+1,"",'Renovation'!$D$50*MIN(1,MAX(0,(2*(15-'Renovation'!$D$45)+1)/(2*'Renovation'!$D$47)))*(1+T$6)^(15-'Renovation'!$D$46))</f>
        <v/>
      </c>
    </row>
    <row r="19">
      <c r="A19" s="1" t="n"/>
      <c r="B19" s="8" t="inlineStr">
        <is>
          <t>Property Taxes</t>
        </is>
      </c>
      <c r="C19" s="1" t="n"/>
      <c r="D19" s="1" t="n"/>
      <c r="E19" s="1" t="n"/>
      <c r="F19" s="38">
        <f>IF(1&gt;'Summary &amp; Assumptions'!$C$23+1,"",-INDEX('Summary &amp; Assumptions'!$D$56:$R$56,1,1))</f>
        <v/>
      </c>
      <c r="G19" s="38">
        <f>IF(2&gt;'Summary &amp; Assumptions'!$C$23+1,"",-INDEX('Summary &amp; Assumptions'!$D$56:$R$56,1,2))</f>
        <v/>
      </c>
      <c r="H19" s="38">
        <f>IF(3&gt;'Summary &amp; Assumptions'!$C$23+1,"",-INDEX('Summary &amp; Assumptions'!$D$56:$R$56,1,3))</f>
        <v/>
      </c>
      <c r="I19" s="38">
        <f>IF(4&gt;'Summary &amp; Assumptions'!$C$23+1,"",-INDEX('Summary &amp; Assumptions'!$D$56:$R$56,1,4))</f>
        <v/>
      </c>
      <c r="J19" s="38">
        <f>IF(5&gt;'Summary &amp; Assumptions'!$C$23+1,"",-INDEX('Summary &amp; Assumptions'!$D$56:$R$56,1,5))</f>
        <v/>
      </c>
      <c r="K19" s="38">
        <f>IF(6&gt;'Summary &amp; Assumptions'!$C$23+1,"",-INDEX('Summary &amp; Assumptions'!$D$56:$R$56,1,6))</f>
        <v/>
      </c>
      <c r="L19" s="38">
        <f>IF(7&gt;'Summary &amp; Assumptions'!$C$23+1,"",-INDEX('Summary &amp; Assumptions'!$D$56:$R$56,1,7))</f>
        <v/>
      </c>
      <c r="M19" s="38">
        <f>IF(8&gt;'Summary &amp; Assumptions'!$C$23+1,"",-INDEX('Summary &amp; Assumptions'!$D$56:$R$56,1,8))</f>
        <v/>
      </c>
      <c r="N19" s="38">
        <f>IF(9&gt;'Summary &amp; Assumptions'!$C$23+1,"",-INDEX('Summary &amp; Assumptions'!$D$56:$R$56,1,9))</f>
        <v/>
      </c>
      <c r="O19" s="38">
        <f>IF(10&gt;'Summary &amp; Assumptions'!$C$23+1,"",-INDEX('Summary &amp; Assumptions'!$D$56:$R$56,1,10))</f>
        <v/>
      </c>
      <c r="P19" s="38">
        <f>IF(11&gt;'Summary &amp; Assumptions'!$C$23+1,"",O19*(1+P$8))</f>
        <v/>
      </c>
      <c r="Q19" s="38">
        <f>IF(12&gt;'Summary &amp; Assumptions'!$C$23+1,"",P19*(1+Q$8))</f>
        <v/>
      </c>
      <c r="R19" s="38">
        <f>IF(13&gt;'Summary &amp; Assumptions'!$C$23+1,"",Q19*(1+R$8))</f>
        <v/>
      </c>
      <c r="S19" s="38">
        <f>IF(14&gt;'Summary &amp; Assumptions'!$C$23+1,"",R19*(1+S$8))</f>
        <v/>
      </c>
      <c r="T19" s="38">
        <f>IF(15&gt;'Summary &amp; Assumptions'!$C$23+1,"",S19*(1+T$8))</f>
        <v/>
      </c>
    </row>
    <row r="20">
      <c r="A20" s="1" t="n"/>
      <c r="B20" s="8" t="inlineStr">
        <is>
          <t>Other Operating Expenses</t>
        </is>
      </c>
      <c r="C20" s="1" t="n"/>
      <c r="D20" s="1" t="n"/>
      <c r="E20" s="1" t="n"/>
      <c r="F20" s="38">
        <f>IF(1&gt;'Summary &amp; Assumptions'!$C$23+1,"",-('P&amp;L'!$Z$67-'P&amp;L'!$Z$31))</f>
        <v/>
      </c>
      <c r="G20" s="38">
        <f>IF(2&gt;'Summary &amp; Assumptions'!$C$23+1,"",F20*(1+G$8))</f>
        <v/>
      </c>
      <c r="H20" s="38">
        <f>IF(3&gt;'Summary &amp; Assumptions'!$C$23+1,"",G20*(1+H$8))</f>
        <v/>
      </c>
      <c r="I20" s="38">
        <f>IF(4&gt;'Summary &amp; Assumptions'!$C$23+1,"",H20*(1+I$8))</f>
        <v/>
      </c>
      <c r="J20" s="38">
        <f>IF(5&gt;'Summary &amp; Assumptions'!$C$23+1,"",I20*(1+J$8))</f>
        <v/>
      </c>
      <c r="K20" s="38">
        <f>IF(6&gt;'Summary &amp; Assumptions'!$C$23+1,"",J20*(1+K$8))</f>
        <v/>
      </c>
      <c r="L20" s="38">
        <f>IF(7&gt;'Summary &amp; Assumptions'!$C$23+1,"",K20*(1+L$8))</f>
        <v/>
      </c>
      <c r="M20" s="38">
        <f>IF(8&gt;'Summary &amp; Assumptions'!$C$23+1,"",L20*(1+M$8))</f>
        <v/>
      </c>
      <c r="N20" s="38">
        <f>IF(9&gt;'Summary &amp; Assumptions'!$C$23+1,"",M20*(1+N$8))</f>
        <v/>
      </c>
      <c r="O20" s="38">
        <f>IF(10&gt;'Summary &amp; Assumptions'!$C$23+1,"",N20*(1+O$8))</f>
        <v/>
      </c>
      <c r="P20" s="38">
        <f>IF(11&gt;'Summary &amp; Assumptions'!$C$23+1,"",O20*(1+P$8))</f>
        <v/>
      </c>
      <c r="Q20" s="38">
        <f>IF(12&gt;'Summary &amp; Assumptions'!$C$23+1,"",P20*(1+Q$8))</f>
        <v/>
      </c>
      <c r="R20" s="38">
        <f>IF(13&gt;'Summary &amp; Assumptions'!$C$23+1,"",Q20*(1+R$8))</f>
        <v/>
      </c>
      <c r="S20" s="38">
        <f>IF(14&gt;'Summary &amp; Assumptions'!$C$23+1,"",R20*(1+S$8))</f>
        <v/>
      </c>
      <c r="T20" s="38">
        <f>IF(15&gt;'Summary &amp; Assumptions'!$C$23+1,"",S20*(1+T$8))</f>
        <v/>
      </c>
    </row>
    <row r="21">
      <c r="A21" s="1" t="n"/>
      <c r="B21" s="17" t="inlineStr">
        <is>
          <t>Total Operating Expenses</t>
        </is>
      </c>
      <c r="C21" s="1" t="n"/>
      <c r="D21" s="1" t="n"/>
      <c r="E21" s="1" t="n"/>
      <c r="F21" s="39">
        <f>IF(1&gt;'Summary &amp; Assumptions'!$C$23+1,"",F19+F20)</f>
        <v/>
      </c>
      <c r="G21" s="39">
        <f>IF(2&gt;'Summary &amp; Assumptions'!$C$23+1,"",G19+G20)</f>
        <v/>
      </c>
      <c r="H21" s="39">
        <f>IF(3&gt;'Summary &amp; Assumptions'!$C$23+1,"",H19+H20)</f>
        <v/>
      </c>
      <c r="I21" s="39">
        <f>IF(4&gt;'Summary &amp; Assumptions'!$C$23+1,"",I19+I20)</f>
        <v/>
      </c>
      <c r="J21" s="39">
        <f>IF(5&gt;'Summary &amp; Assumptions'!$C$23+1,"",J19+J20)</f>
        <v/>
      </c>
      <c r="K21" s="39">
        <f>IF(6&gt;'Summary &amp; Assumptions'!$C$23+1,"",K19+K20)</f>
        <v/>
      </c>
      <c r="L21" s="39">
        <f>IF(7&gt;'Summary &amp; Assumptions'!$C$23+1,"",L19+L20)</f>
        <v/>
      </c>
      <c r="M21" s="39">
        <f>IF(8&gt;'Summary &amp; Assumptions'!$C$23+1,"",M19+M20)</f>
        <v/>
      </c>
      <c r="N21" s="39">
        <f>IF(9&gt;'Summary &amp; Assumptions'!$C$23+1,"",N19+N20)</f>
        <v/>
      </c>
      <c r="O21" s="39">
        <f>IF(10&gt;'Summary &amp; Assumptions'!$C$23+1,"",O19+O20)</f>
        <v/>
      </c>
      <c r="P21" s="39">
        <f>IF(11&gt;'Summary &amp; Assumptions'!$C$23+1,"",P19+P20)</f>
        <v/>
      </c>
      <c r="Q21" s="39">
        <f>IF(12&gt;'Summary &amp; Assumptions'!$C$23+1,"",Q19+Q20)</f>
        <v/>
      </c>
      <c r="R21" s="39">
        <f>IF(13&gt;'Summary &amp; Assumptions'!$C$23+1,"",R19+R20)</f>
        <v/>
      </c>
      <c r="S21" s="39">
        <f>IF(14&gt;'Summary &amp; Assumptions'!$C$23+1,"",S19+S20)</f>
        <v/>
      </c>
      <c r="T21" s="39">
        <f>IF(15&gt;'Summary &amp; Assumptions'!$C$23+1,"",T19+T20)</f>
        <v/>
      </c>
    </row>
    <row r="22">
      <c r="A22" s="1" t="n"/>
      <c r="B22" s="8" t="inlineStr">
        <is>
          <t>Expense Ratio (= -Opex / EGR)</t>
        </is>
      </c>
      <c r="C22" s="1" t="n"/>
      <c r="D22" s="1" t="n"/>
      <c r="E22" s="1" t="n"/>
      <c r="F22" s="36">
        <f>IF(1&gt;'Summary &amp; Assumptions'!$C$23+1,"",IFERROR(-F21/F16,0))</f>
        <v/>
      </c>
      <c r="G22" s="36">
        <f>IF(2&gt;'Summary &amp; Assumptions'!$C$23+1,"",IFERROR(-G21/G16,0))</f>
        <v/>
      </c>
      <c r="H22" s="36">
        <f>IF(3&gt;'Summary &amp; Assumptions'!$C$23+1,"",IFERROR(-H21/H16,0))</f>
        <v/>
      </c>
      <c r="I22" s="36">
        <f>IF(4&gt;'Summary &amp; Assumptions'!$C$23+1,"",IFERROR(-I21/I16,0))</f>
        <v/>
      </c>
      <c r="J22" s="36">
        <f>IF(5&gt;'Summary &amp; Assumptions'!$C$23+1,"",IFERROR(-J21/J16,0))</f>
        <v/>
      </c>
      <c r="K22" s="36">
        <f>IF(6&gt;'Summary &amp; Assumptions'!$C$23+1,"",IFERROR(-K21/K16,0))</f>
        <v/>
      </c>
      <c r="L22" s="36">
        <f>IF(7&gt;'Summary &amp; Assumptions'!$C$23+1,"",IFERROR(-L21/L16,0))</f>
        <v/>
      </c>
      <c r="M22" s="36">
        <f>IF(8&gt;'Summary &amp; Assumptions'!$C$23+1,"",IFERROR(-M21/M16,0))</f>
        <v/>
      </c>
      <c r="N22" s="36">
        <f>IF(9&gt;'Summary &amp; Assumptions'!$C$23+1,"",IFERROR(-N21/N16,0))</f>
        <v/>
      </c>
      <c r="O22" s="36">
        <f>IF(10&gt;'Summary &amp; Assumptions'!$C$23+1,"",IFERROR(-O21/O16,0))</f>
        <v/>
      </c>
      <c r="P22" s="36">
        <f>IF(11&gt;'Summary &amp; Assumptions'!$C$23+1,"",IFERROR(-P21/P16,0))</f>
        <v/>
      </c>
      <c r="Q22" s="36">
        <f>IF(12&gt;'Summary &amp; Assumptions'!$C$23+1,"",IFERROR(-Q21/Q16,0))</f>
        <v/>
      </c>
      <c r="R22" s="36">
        <f>IF(13&gt;'Summary &amp; Assumptions'!$C$23+1,"",IFERROR(-R21/R16,0))</f>
        <v/>
      </c>
      <c r="S22" s="36">
        <f>IF(14&gt;'Summary &amp; Assumptions'!$C$23+1,"",IFERROR(-S21/S16,0))</f>
        <v/>
      </c>
      <c r="T22" s="36">
        <f>IF(15&gt;'Summary &amp; Assumptions'!$C$23+1,"",IFERROR(-T21/T16,0))</f>
        <v/>
      </c>
    </row>
    <row r="23">
      <c r="A23" s="1" t="n"/>
      <c r="B23" s="17" t="inlineStr">
        <is>
          <t>Net Operating Income</t>
        </is>
      </c>
      <c r="C23" s="1" t="n"/>
      <c r="D23" s="1" t="n"/>
      <c r="E23" s="1" t="n"/>
      <c r="F23" s="40">
        <f>IF(1&gt;'Summary &amp; Assumptions'!$C$23+1,"",F16+F17+F18+F21)</f>
        <v/>
      </c>
      <c r="G23" s="40">
        <f>IF(2&gt;'Summary &amp; Assumptions'!$C$23+1,"",G16+G17+G18+G21)</f>
        <v/>
      </c>
      <c r="H23" s="40">
        <f>IF(3&gt;'Summary &amp; Assumptions'!$C$23+1,"",H16+H17+H18+H21)</f>
        <v/>
      </c>
      <c r="I23" s="40">
        <f>IF(4&gt;'Summary &amp; Assumptions'!$C$23+1,"",I16+I17+I18+I21)</f>
        <v/>
      </c>
      <c r="J23" s="40">
        <f>IF(5&gt;'Summary &amp; Assumptions'!$C$23+1,"",J16+J17+J18+J21)</f>
        <v/>
      </c>
      <c r="K23" s="40">
        <f>IF(6&gt;'Summary &amp; Assumptions'!$C$23+1,"",K16+K17+K18+K21)</f>
        <v/>
      </c>
      <c r="L23" s="40">
        <f>IF(7&gt;'Summary &amp; Assumptions'!$C$23+1,"",L16+L17+L18+L21)</f>
        <v/>
      </c>
      <c r="M23" s="40">
        <f>IF(8&gt;'Summary &amp; Assumptions'!$C$23+1,"",M16+M17+M18+M21)</f>
        <v/>
      </c>
      <c r="N23" s="40">
        <f>IF(9&gt;'Summary &amp; Assumptions'!$C$23+1,"",N16+N17+N18+N21)</f>
        <v/>
      </c>
      <c r="O23" s="40">
        <f>IF(10&gt;'Summary &amp; Assumptions'!$C$23+1,"",O16+O17+O18+O21)</f>
        <v/>
      </c>
      <c r="P23" s="40">
        <f>IF(11&gt;'Summary &amp; Assumptions'!$C$23+1,"",P16+P17+P18+P21)</f>
        <v/>
      </c>
      <c r="Q23" s="40">
        <f>IF(12&gt;'Summary &amp; Assumptions'!$C$23+1,"",Q16+Q17+Q18+Q21)</f>
        <v/>
      </c>
      <c r="R23" s="40">
        <f>IF(13&gt;'Summary &amp; Assumptions'!$C$23+1,"",R16+R17+R18+R21)</f>
        <v/>
      </c>
      <c r="S23" s="40">
        <f>IF(14&gt;'Summary &amp; Assumptions'!$C$23+1,"",S16+S17+S18+S21)</f>
        <v/>
      </c>
      <c r="T23" s="40">
        <f>IF(15&gt;'Summary &amp; Assumptions'!$C$23+1,"",T16+T17+T18+T21)</f>
        <v/>
      </c>
    </row>
    <row r="24">
      <c r="A24" s="1" t="n"/>
      <c r="B24" s="8" t="inlineStr">
        <is>
          <t>NOI for Debt Sizing (excl. renovation)</t>
        </is>
      </c>
      <c r="C24" s="1" t="n"/>
      <c r="D24" s="1" t="n"/>
      <c r="E24" s="1" t="n"/>
      <c r="F24" s="38">
        <f>IF(1&gt;'Summary &amp; Assumptions'!$C$23+1,"",F16+F21)</f>
        <v/>
      </c>
      <c r="G24" s="38">
        <f>IF(2&gt;'Summary &amp; Assumptions'!$C$23+1,"",G16+G21)</f>
        <v/>
      </c>
      <c r="H24" s="38">
        <f>IF(3&gt;'Summary &amp; Assumptions'!$C$23+1,"",H16+H21)</f>
        <v/>
      </c>
      <c r="I24" s="38">
        <f>IF(4&gt;'Summary &amp; Assumptions'!$C$23+1,"",I16+I21)</f>
        <v/>
      </c>
      <c r="J24" s="38">
        <f>IF(5&gt;'Summary &amp; Assumptions'!$C$23+1,"",J16+J21)</f>
        <v/>
      </c>
      <c r="K24" s="38">
        <f>IF(6&gt;'Summary &amp; Assumptions'!$C$23+1,"",K16+K21)</f>
        <v/>
      </c>
      <c r="L24" s="38">
        <f>IF(7&gt;'Summary &amp; Assumptions'!$C$23+1,"",L16+L21)</f>
        <v/>
      </c>
      <c r="M24" s="38">
        <f>IF(8&gt;'Summary &amp; Assumptions'!$C$23+1,"",M16+M21)</f>
        <v/>
      </c>
      <c r="N24" s="38">
        <f>IF(9&gt;'Summary &amp; Assumptions'!$C$23+1,"",N16+N21)</f>
        <v/>
      </c>
      <c r="O24" s="38">
        <f>IF(10&gt;'Summary &amp; Assumptions'!$C$23+1,"",O16+O21)</f>
        <v/>
      </c>
      <c r="P24" s="38">
        <f>IF(11&gt;'Summary &amp; Assumptions'!$C$23+1,"",P16+P21)</f>
        <v/>
      </c>
      <c r="Q24" s="38">
        <f>IF(12&gt;'Summary &amp; Assumptions'!$C$23+1,"",Q16+Q21)</f>
        <v/>
      </c>
      <c r="R24" s="38">
        <f>IF(13&gt;'Summary &amp; Assumptions'!$C$23+1,"",R16+R21)</f>
        <v/>
      </c>
      <c r="S24" s="38">
        <f>IF(14&gt;'Summary &amp; Assumptions'!$C$23+1,"",S16+S21)</f>
        <v/>
      </c>
      <c r="T24" s="38">
        <f>IF(15&gt;'Summary &amp; Assumptions'!$C$23+1,"",T16+T21)</f>
        <v/>
      </c>
    </row>
    <row r="25">
      <c r="A25" s="1" t="n"/>
      <c r="B25" s="8" t="inlineStr">
        <is>
          <t>Replacement Reserves</t>
        </is>
      </c>
      <c r="C25" s="1" t="n"/>
      <c r="D25" s="1" t="n"/>
      <c r="E25" s="1" t="n"/>
      <c r="F25" s="38">
        <f>IF(1&gt;'Summary &amp; Assumptions'!$C$23+1,"",-'Investor Waterfall'!$H$13*'Summary &amp; Assumptions'!$C$11)</f>
        <v/>
      </c>
      <c r="G25" s="38">
        <f>IF(2&gt;'Summary &amp; Assumptions'!$C$23+1,"",F25*(1+G$8))</f>
        <v/>
      </c>
      <c r="H25" s="38">
        <f>IF(3&gt;'Summary &amp; Assumptions'!$C$23+1,"",G25*(1+H$8))</f>
        <v/>
      </c>
      <c r="I25" s="38">
        <f>IF(4&gt;'Summary &amp; Assumptions'!$C$23+1,"",H25*(1+I$8))</f>
        <v/>
      </c>
      <c r="J25" s="38">
        <f>IF(5&gt;'Summary &amp; Assumptions'!$C$23+1,"",I25*(1+J$8))</f>
        <v/>
      </c>
      <c r="K25" s="38">
        <f>IF(6&gt;'Summary &amp; Assumptions'!$C$23+1,"",J25*(1+K$8))</f>
        <v/>
      </c>
      <c r="L25" s="38">
        <f>IF(7&gt;'Summary &amp; Assumptions'!$C$23+1,"",K25*(1+L$8))</f>
        <v/>
      </c>
      <c r="M25" s="38">
        <f>IF(8&gt;'Summary &amp; Assumptions'!$C$23+1,"",L25*(1+M$8))</f>
        <v/>
      </c>
      <c r="N25" s="38">
        <f>IF(9&gt;'Summary &amp; Assumptions'!$C$23+1,"",M25*(1+N$8))</f>
        <v/>
      </c>
      <c r="O25" s="38">
        <f>IF(10&gt;'Summary &amp; Assumptions'!$C$23+1,"",N25*(1+O$8))</f>
        <v/>
      </c>
      <c r="P25" s="38">
        <f>IF(11&gt;'Summary &amp; Assumptions'!$C$23+1,"",O25*(1+P$8))</f>
        <v/>
      </c>
      <c r="Q25" s="38">
        <f>IF(12&gt;'Summary &amp; Assumptions'!$C$23+1,"",P25*(1+Q$8))</f>
        <v/>
      </c>
      <c r="R25" s="38">
        <f>IF(13&gt;'Summary &amp; Assumptions'!$C$23+1,"",Q25*(1+R$8))</f>
        <v/>
      </c>
      <c r="S25" s="38">
        <f>IF(14&gt;'Summary &amp; Assumptions'!$C$23+1,"",R25*(1+S$8))</f>
        <v/>
      </c>
      <c r="T25" s="38">
        <f>IF(15&gt;'Summary &amp; Assumptions'!$C$23+1,"",S25*(1+T$8))</f>
        <v/>
      </c>
    </row>
    <row r="26">
      <c r="A26" s="1" t="n"/>
      <c r="B26" s="17" t="inlineStr">
        <is>
          <t>NOI After Reserves</t>
        </is>
      </c>
      <c r="C26" s="1" t="n"/>
      <c r="D26" s="1" t="n"/>
      <c r="E26" s="1" t="n"/>
      <c r="F26" s="39">
        <f>IF(1&gt;'Summary &amp; Assumptions'!$C$23+1,"",F23+F25)</f>
        <v/>
      </c>
      <c r="G26" s="39">
        <f>IF(2&gt;'Summary &amp; Assumptions'!$C$23+1,"",G23+G25)</f>
        <v/>
      </c>
      <c r="H26" s="39">
        <f>IF(3&gt;'Summary &amp; Assumptions'!$C$23+1,"",H23+H25)</f>
        <v/>
      </c>
      <c r="I26" s="39">
        <f>IF(4&gt;'Summary &amp; Assumptions'!$C$23+1,"",I23+I25)</f>
        <v/>
      </c>
      <c r="J26" s="39">
        <f>IF(5&gt;'Summary &amp; Assumptions'!$C$23+1,"",J23+J25)</f>
        <v/>
      </c>
      <c r="K26" s="39">
        <f>IF(6&gt;'Summary &amp; Assumptions'!$C$23+1,"",K23+K25)</f>
        <v/>
      </c>
      <c r="L26" s="39">
        <f>IF(7&gt;'Summary &amp; Assumptions'!$C$23+1,"",L23+L25)</f>
        <v/>
      </c>
      <c r="M26" s="39">
        <f>IF(8&gt;'Summary &amp; Assumptions'!$C$23+1,"",M23+M25)</f>
        <v/>
      </c>
      <c r="N26" s="39">
        <f>IF(9&gt;'Summary &amp; Assumptions'!$C$23+1,"",N23+N25)</f>
        <v/>
      </c>
      <c r="O26" s="39">
        <f>IF(10&gt;'Summary &amp; Assumptions'!$C$23+1,"",O23+O25)</f>
        <v/>
      </c>
      <c r="P26" s="39">
        <f>IF(11&gt;'Summary &amp; Assumptions'!$C$23+1,"",P23+P25)</f>
        <v/>
      </c>
      <c r="Q26" s="39">
        <f>IF(12&gt;'Summary &amp; Assumptions'!$C$23+1,"",Q23+Q25)</f>
        <v/>
      </c>
      <c r="R26" s="39">
        <f>IF(13&gt;'Summary &amp; Assumptions'!$C$23+1,"",R23+R25)</f>
        <v/>
      </c>
      <c r="S26" s="39">
        <f>IF(14&gt;'Summary &amp; Assumptions'!$C$23+1,"",S23+S25)</f>
        <v/>
      </c>
      <c r="T26" s="39">
        <f>IF(15&gt;'Summary &amp; Assumptions'!$C$23+1,"",T23+T25)</f>
        <v/>
      </c>
    </row>
    <row r="27">
      <c r="A27" s="1" t="n"/>
      <c r="B27" s="8" t="inlineStr">
        <is>
          <t>Capital Expenditures</t>
        </is>
      </c>
      <c r="C27" s="1" t="n"/>
      <c r="D27" s="1" t="n"/>
      <c r="E27" s="1" t="n"/>
      <c r="F27" s="38">
        <f>IF(1&gt;'Summary &amp; Assumptions'!$C$23+1,"",-'Renovation'!$D$48*(1&gt;='Renovation'!$D$45)*(1&lt;='Renovation'!$D$46))</f>
        <v/>
      </c>
      <c r="G27" s="38">
        <f>IF(2&gt;'Summary &amp; Assumptions'!$C$23+1,"",-'Renovation'!$D$48*(2&gt;='Renovation'!$D$45)*(2&lt;='Renovation'!$D$46))</f>
        <v/>
      </c>
      <c r="H27" s="38">
        <f>IF(3&gt;'Summary &amp; Assumptions'!$C$23+1,"",-'Renovation'!$D$48*(3&gt;='Renovation'!$D$45)*(3&lt;='Renovation'!$D$46))</f>
        <v/>
      </c>
      <c r="I27" s="38">
        <f>IF(4&gt;'Summary &amp; Assumptions'!$C$23+1,"",-'Renovation'!$D$48*(4&gt;='Renovation'!$D$45)*(4&lt;='Renovation'!$D$46))</f>
        <v/>
      </c>
      <c r="J27" s="38">
        <f>IF(5&gt;'Summary &amp; Assumptions'!$C$23+1,"",-'Renovation'!$D$48*(5&gt;='Renovation'!$D$45)*(5&lt;='Renovation'!$D$46))</f>
        <v/>
      </c>
      <c r="K27" s="38">
        <f>IF(6&gt;'Summary &amp; Assumptions'!$C$23+1,"",-'Renovation'!$D$48*(6&gt;='Renovation'!$D$45)*(6&lt;='Renovation'!$D$46))</f>
        <v/>
      </c>
      <c r="L27" s="38">
        <f>IF(7&gt;'Summary &amp; Assumptions'!$C$23+1,"",-'Renovation'!$D$48*(7&gt;='Renovation'!$D$45)*(7&lt;='Renovation'!$D$46))</f>
        <v/>
      </c>
      <c r="M27" s="38">
        <f>IF(8&gt;'Summary &amp; Assumptions'!$C$23+1,"",-'Renovation'!$D$48*(8&gt;='Renovation'!$D$45)*(8&lt;='Renovation'!$D$46))</f>
        <v/>
      </c>
      <c r="N27" s="38">
        <f>IF(9&gt;'Summary &amp; Assumptions'!$C$23+1,"",-'Renovation'!$D$48*(9&gt;='Renovation'!$D$45)*(9&lt;='Renovation'!$D$46))</f>
        <v/>
      </c>
      <c r="O27" s="38">
        <f>IF(10&gt;'Summary &amp; Assumptions'!$C$23+1,"",-'Renovation'!$D$48*(10&gt;='Renovation'!$D$45)*(10&lt;='Renovation'!$D$46))</f>
        <v/>
      </c>
      <c r="P27" s="38">
        <f>IF(11&gt;'Summary &amp; Assumptions'!$C$23+1,"",-'Renovation'!$D$48*(11&gt;='Renovation'!$D$45)*(11&lt;='Renovation'!$D$46))</f>
        <v/>
      </c>
      <c r="Q27" s="38">
        <f>IF(12&gt;'Summary &amp; Assumptions'!$C$23+1,"",-'Renovation'!$D$48*(12&gt;='Renovation'!$D$45)*(12&lt;='Renovation'!$D$46))</f>
        <v/>
      </c>
      <c r="R27" s="38">
        <f>IF(13&gt;'Summary &amp; Assumptions'!$C$23+1,"",-'Renovation'!$D$48*(13&gt;='Renovation'!$D$45)*(13&lt;='Renovation'!$D$46))</f>
        <v/>
      </c>
      <c r="S27" s="38">
        <f>IF(14&gt;'Summary &amp; Assumptions'!$C$23+1,"",-'Renovation'!$D$48*(14&gt;='Renovation'!$D$45)*(14&lt;='Renovation'!$D$46))</f>
        <v/>
      </c>
      <c r="T27" s="38">
        <f>IF(15&gt;'Summary &amp; Assumptions'!$C$23+1,"",-'Renovation'!$D$48*(15&gt;='Renovation'!$D$45)*(15&lt;='Renovation'!$D$46))</f>
        <v/>
      </c>
    </row>
    <row r="28">
      <c r="A28" s="1" t="n"/>
      <c r="B28" s="8" t="inlineStr">
        <is>
          <t>Gross Sale Price</t>
        </is>
      </c>
      <c r="C28" s="1" t="n"/>
      <c r="D28" s="1" t="n"/>
      <c r="E28" s="1" t="n"/>
      <c r="F28" s="38">
        <f>IF(1&gt;'Summary &amp; Assumptions'!$C$23,"",IF(1&lt;&gt;MIN('Summary &amp; Assumptions'!$C$23,15),0,IFERROR(IF('Summary &amp; Assumptions'!$M$6="Forward NOI",INDEX($F$23:$T$23,1,MIN('Summary &amp; Assumptions'!$C$23+1,15)),INDEX($F$23:$T$23,1,MAX(1,MIN('Summary &amp; Assumptions'!$C$23,15))))/'Summary &amp; Assumptions'!$M$8,0)))</f>
        <v/>
      </c>
      <c r="G28" s="38">
        <f>IF(2&gt;'Summary &amp; Assumptions'!$C$23,"",IF(2&lt;&gt;MIN('Summary &amp; Assumptions'!$C$23,15),0,IFERROR(IF('Summary &amp; Assumptions'!$M$6="Forward NOI",INDEX($F$23:$T$23,1,MIN('Summary &amp; Assumptions'!$C$23+1,15)),INDEX($F$23:$T$23,1,MAX(1,MIN('Summary &amp; Assumptions'!$C$23,15))))/'Summary &amp; Assumptions'!$M$8,0)))</f>
        <v/>
      </c>
      <c r="H28" s="38">
        <f>IF(3&gt;'Summary &amp; Assumptions'!$C$23,"",IF(3&lt;&gt;MIN('Summary &amp; Assumptions'!$C$23,15),0,IFERROR(IF('Summary &amp; Assumptions'!$M$6="Forward NOI",INDEX($F$23:$T$23,1,MIN('Summary &amp; Assumptions'!$C$23+1,15)),INDEX($F$23:$T$23,1,MAX(1,MIN('Summary &amp; Assumptions'!$C$23,15))))/'Summary &amp; Assumptions'!$M$8,0)))</f>
        <v/>
      </c>
      <c r="I28" s="38">
        <f>IF(4&gt;'Summary &amp; Assumptions'!$C$23,"",IF(4&lt;&gt;MIN('Summary &amp; Assumptions'!$C$23,15),0,IFERROR(IF('Summary &amp; Assumptions'!$M$6="Forward NOI",INDEX($F$23:$T$23,1,MIN('Summary &amp; Assumptions'!$C$23+1,15)),INDEX($F$23:$T$23,1,MAX(1,MIN('Summary &amp; Assumptions'!$C$23,15))))/'Summary &amp; Assumptions'!$M$8,0)))</f>
        <v/>
      </c>
      <c r="J28" s="38">
        <f>IF(5&gt;'Summary &amp; Assumptions'!$C$23,"",IF(5&lt;&gt;MIN('Summary &amp; Assumptions'!$C$23,15),0,IFERROR(IF('Summary &amp; Assumptions'!$M$6="Forward NOI",INDEX($F$23:$T$23,1,MIN('Summary &amp; Assumptions'!$C$23+1,15)),INDEX($F$23:$T$23,1,MAX(1,MIN('Summary &amp; Assumptions'!$C$23,15))))/'Summary &amp; Assumptions'!$M$8,0)))</f>
        <v/>
      </c>
      <c r="K28" s="38">
        <f>IF(6&gt;'Summary &amp; Assumptions'!$C$23,"",IF(6&lt;&gt;MIN('Summary &amp; Assumptions'!$C$23,15),0,IFERROR(IF('Summary &amp; Assumptions'!$M$6="Forward NOI",INDEX($F$23:$T$23,1,MIN('Summary &amp; Assumptions'!$C$23+1,15)),INDEX($F$23:$T$23,1,MAX(1,MIN('Summary &amp; Assumptions'!$C$23,15))))/'Summary &amp; Assumptions'!$M$8,0)))</f>
        <v/>
      </c>
      <c r="L28" s="38">
        <f>IF(7&gt;'Summary &amp; Assumptions'!$C$23,"",IF(7&lt;&gt;MIN('Summary &amp; Assumptions'!$C$23,15),0,IFERROR(IF('Summary &amp; Assumptions'!$M$6="Forward NOI",INDEX($F$23:$T$23,1,MIN('Summary &amp; Assumptions'!$C$23+1,15)),INDEX($F$23:$T$23,1,MAX(1,MIN('Summary &amp; Assumptions'!$C$23,15))))/'Summary &amp; Assumptions'!$M$8,0)))</f>
        <v/>
      </c>
      <c r="M28" s="38">
        <f>IF(8&gt;'Summary &amp; Assumptions'!$C$23,"",IF(8&lt;&gt;MIN('Summary &amp; Assumptions'!$C$23,15),0,IFERROR(IF('Summary &amp; Assumptions'!$M$6="Forward NOI",INDEX($F$23:$T$23,1,MIN('Summary &amp; Assumptions'!$C$23+1,15)),INDEX($F$23:$T$23,1,MAX(1,MIN('Summary &amp; Assumptions'!$C$23,15))))/'Summary &amp; Assumptions'!$M$8,0)))</f>
        <v/>
      </c>
      <c r="N28" s="38">
        <f>IF(9&gt;'Summary &amp; Assumptions'!$C$23,"",IF(9&lt;&gt;MIN('Summary &amp; Assumptions'!$C$23,15),0,IFERROR(IF('Summary &amp; Assumptions'!$M$6="Forward NOI",INDEX($F$23:$T$23,1,MIN('Summary &amp; Assumptions'!$C$23+1,15)),INDEX($F$23:$T$23,1,MAX(1,MIN('Summary &amp; Assumptions'!$C$23,15))))/'Summary &amp; Assumptions'!$M$8,0)))</f>
        <v/>
      </c>
      <c r="O28" s="38">
        <f>IF(10&gt;'Summary &amp; Assumptions'!$C$23,"",IF(10&lt;&gt;MIN('Summary &amp; Assumptions'!$C$23,15),0,IFERROR(IF('Summary &amp; Assumptions'!$M$6="Forward NOI",INDEX($F$23:$T$23,1,MIN('Summary &amp; Assumptions'!$C$23+1,15)),INDEX($F$23:$T$23,1,MAX(1,MIN('Summary &amp; Assumptions'!$C$23,15))))/'Summary &amp; Assumptions'!$M$8,0)))</f>
        <v/>
      </c>
      <c r="P28" s="38">
        <f>IF(11&gt;'Summary &amp; Assumptions'!$C$23,"",IF(11&lt;&gt;MIN('Summary &amp; Assumptions'!$C$23,15),0,IFERROR(IF('Summary &amp; Assumptions'!$M$6="Forward NOI",INDEX($F$23:$T$23,1,MIN('Summary &amp; Assumptions'!$C$23+1,15)),INDEX($F$23:$T$23,1,MAX(1,MIN('Summary &amp; Assumptions'!$C$23,15))))/'Summary &amp; Assumptions'!$M$8,0)))</f>
        <v/>
      </c>
      <c r="Q28" s="38">
        <f>IF(12&gt;'Summary &amp; Assumptions'!$C$23,"",IF(12&lt;&gt;MIN('Summary &amp; Assumptions'!$C$23,15),0,IFERROR(IF('Summary &amp; Assumptions'!$M$6="Forward NOI",INDEX($F$23:$T$23,1,MIN('Summary &amp; Assumptions'!$C$23+1,15)),INDEX($F$23:$T$23,1,MAX(1,MIN('Summary &amp; Assumptions'!$C$23,15))))/'Summary &amp; Assumptions'!$M$8,0)))</f>
        <v/>
      </c>
      <c r="R28" s="38">
        <f>IF(13&gt;'Summary &amp; Assumptions'!$C$23,"",IF(13&lt;&gt;MIN('Summary &amp; Assumptions'!$C$23,15),0,IFERROR(IF('Summary &amp; Assumptions'!$M$6="Forward NOI",INDEX($F$23:$T$23,1,MIN('Summary &amp; Assumptions'!$C$23+1,15)),INDEX($F$23:$T$23,1,MAX(1,MIN('Summary &amp; Assumptions'!$C$23,15))))/'Summary &amp; Assumptions'!$M$8,0)))</f>
        <v/>
      </c>
      <c r="S28" s="38">
        <f>IF(14&gt;'Summary &amp; Assumptions'!$C$23,"",IF(14&lt;&gt;MIN('Summary &amp; Assumptions'!$C$23,15),0,IFERROR(IF('Summary &amp; Assumptions'!$M$6="Forward NOI",INDEX($F$23:$T$23,1,MIN('Summary &amp; Assumptions'!$C$23+1,15)),INDEX($F$23:$T$23,1,MAX(1,MIN('Summary &amp; Assumptions'!$C$23,15))))/'Summary &amp; Assumptions'!$M$8,0)))</f>
        <v/>
      </c>
      <c r="T28" s="38">
        <f>IF(15&gt;'Summary &amp; Assumptions'!$C$23,"",IF(15&lt;&gt;MIN('Summary &amp; Assumptions'!$C$23,15),0,IFERROR(IF('Summary &amp; Assumptions'!$M$6="Forward NOI",INDEX($F$23:$T$23,1,MIN('Summary &amp; Assumptions'!$C$23+1,15)),INDEX($F$23:$T$23,1,MAX(1,MIN('Summary &amp; Assumptions'!$C$23,15))))/'Summary &amp; Assumptions'!$M$8,0)))</f>
        <v/>
      </c>
    </row>
    <row r="29">
      <c r="A29" s="1" t="n"/>
      <c r="B29" s="8" t="inlineStr">
        <is>
          <t>Transaction Costs</t>
        </is>
      </c>
      <c r="C29" s="1" t="n"/>
      <c r="D29" s="1" t="n"/>
      <c r="E29" s="1" t="n"/>
      <c r="F29" s="38">
        <f>IF(1&gt;'Summary &amp; Assumptions'!$C$23,"",-F28*('Summary &amp; Assumptions'!$M$9+'Summary &amp; Assumptions'!$M$10+'Summary &amp; Assumptions'!$M$11))</f>
        <v/>
      </c>
      <c r="G29" s="38">
        <f>IF(2&gt;'Summary &amp; Assumptions'!$C$23,"",-G28*('Summary &amp; Assumptions'!$M$9+'Summary &amp; Assumptions'!$M$10+'Summary &amp; Assumptions'!$M$11))</f>
        <v/>
      </c>
      <c r="H29" s="38">
        <f>IF(3&gt;'Summary &amp; Assumptions'!$C$23,"",-H28*('Summary &amp; Assumptions'!$M$9+'Summary &amp; Assumptions'!$M$10+'Summary &amp; Assumptions'!$M$11))</f>
        <v/>
      </c>
      <c r="I29" s="38">
        <f>IF(4&gt;'Summary &amp; Assumptions'!$C$23,"",-I28*('Summary &amp; Assumptions'!$M$9+'Summary &amp; Assumptions'!$M$10+'Summary &amp; Assumptions'!$M$11))</f>
        <v/>
      </c>
      <c r="J29" s="38">
        <f>IF(5&gt;'Summary &amp; Assumptions'!$C$23,"",-J28*('Summary &amp; Assumptions'!$M$9+'Summary &amp; Assumptions'!$M$10+'Summary &amp; Assumptions'!$M$11))</f>
        <v/>
      </c>
      <c r="K29" s="38">
        <f>IF(6&gt;'Summary &amp; Assumptions'!$C$23,"",-K28*('Summary &amp; Assumptions'!$M$9+'Summary &amp; Assumptions'!$M$10+'Summary &amp; Assumptions'!$M$11))</f>
        <v/>
      </c>
      <c r="L29" s="38">
        <f>IF(7&gt;'Summary &amp; Assumptions'!$C$23,"",-L28*('Summary &amp; Assumptions'!$M$9+'Summary &amp; Assumptions'!$M$10+'Summary &amp; Assumptions'!$M$11))</f>
        <v/>
      </c>
      <c r="M29" s="38">
        <f>IF(8&gt;'Summary &amp; Assumptions'!$C$23,"",-M28*('Summary &amp; Assumptions'!$M$9+'Summary &amp; Assumptions'!$M$10+'Summary &amp; Assumptions'!$M$11))</f>
        <v/>
      </c>
      <c r="N29" s="38">
        <f>IF(9&gt;'Summary &amp; Assumptions'!$C$23,"",-N28*('Summary &amp; Assumptions'!$M$9+'Summary &amp; Assumptions'!$M$10+'Summary &amp; Assumptions'!$M$11))</f>
        <v/>
      </c>
      <c r="O29" s="38">
        <f>IF(10&gt;'Summary &amp; Assumptions'!$C$23,"",-O28*('Summary &amp; Assumptions'!$M$9+'Summary &amp; Assumptions'!$M$10+'Summary &amp; Assumptions'!$M$11))</f>
        <v/>
      </c>
      <c r="P29" s="38">
        <f>IF(11&gt;'Summary &amp; Assumptions'!$C$23,"",-P28*('Summary &amp; Assumptions'!$M$9+'Summary &amp; Assumptions'!$M$10+'Summary &amp; Assumptions'!$M$11))</f>
        <v/>
      </c>
      <c r="Q29" s="38">
        <f>IF(12&gt;'Summary &amp; Assumptions'!$C$23,"",-Q28*('Summary &amp; Assumptions'!$M$9+'Summary &amp; Assumptions'!$M$10+'Summary &amp; Assumptions'!$M$11))</f>
        <v/>
      </c>
      <c r="R29" s="38">
        <f>IF(13&gt;'Summary &amp; Assumptions'!$C$23,"",-R28*('Summary &amp; Assumptions'!$M$9+'Summary &amp; Assumptions'!$M$10+'Summary &amp; Assumptions'!$M$11))</f>
        <v/>
      </c>
      <c r="S29" s="38">
        <f>IF(14&gt;'Summary &amp; Assumptions'!$C$23,"",-S28*('Summary &amp; Assumptions'!$M$9+'Summary &amp; Assumptions'!$M$10+'Summary &amp; Assumptions'!$M$11))</f>
        <v/>
      </c>
      <c r="T29" s="38">
        <f>IF(15&gt;'Summary &amp; Assumptions'!$C$23,"",-T28*('Summary &amp; Assumptions'!$M$9+'Summary &amp; Assumptions'!$M$10+'Summary &amp; Assumptions'!$M$11))</f>
        <v/>
      </c>
    </row>
    <row r="30">
      <c r="A30" s="1" t="n"/>
      <c r="B30" s="8" t="inlineStr">
        <is>
          <t>Net Sale Proceeds (exit)</t>
        </is>
      </c>
      <c r="C30" s="1" t="n"/>
      <c r="D30" s="1" t="n"/>
      <c r="E30" s="1" t="n"/>
      <c r="F30" s="38">
        <f>IF(1&gt;'Summary &amp; Assumptions'!$C$23,"",F28+F29)</f>
        <v/>
      </c>
      <c r="G30" s="38">
        <f>IF(2&gt;'Summary &amp; Assumptions'!$C$23,"",G28+G29)</f>
        <v/>
      </c>
      <c r="H30" s="38">
        <f>IF(3&gt;'Summary &amp; Assumptions'!$C$23,"",H28+H29)</f>
        <v/>
      </c>
      <c r="I30" s="38">
        <f>IF(4&gt;'Summary &amp; Assumptions'!$C$23,"",I28+I29)</f>
        <v/>
      </c>
      <c r="J30" s="38">
        <f>IF(5&gt;'Summary &amp; Assumptions'!$C$23,"",J28+J29)</f>
        <v/>
      </c>
      <c r="K30" s="38">
        <f>IF(6&gt;'Summary &amp; Assumptions'!$C$23,"",K28+K29)</f>
        <v/>
      </c>
      <c r="L30" s="38">
        <f>IF(7&gt;'Summary &amp; Assumptions'!$C$23,"",L28+L29)</f>
        <v/>
      </c>
      <c r="M30" s="38">
        <f>IF(8&gt;'Summary &amp; Assumptions'!$C$23,"",M28+M29)</f>
        <v/>
      </c>
      <c r="N30" s="38">
        <f>IF(9&gt;'Summary &amp; Assumptions'!$C$23,"",N28+N29)</f>
        <v/>
      </c>
      <c r="O30" s="38">
        <f>IF(10&gt;'Summary &amp; Assumptions'!$C$23,"",O28+O29)</f>
        <v/>
      </c>
      <c r="P30" s="38">
        <f>IF(11&gt;'Summary &amp; Assumptions'!$C$23,"",P28+P29)</f>
        <v/>
      </c>
      <c r="Q30" s="38">
        <f>IF(12&gt;'Summary &amp; Assumptions'!$C$23,"",Q28+Q29)</f>
        <v/>
      </c>
      <c r="R30" s="38">
        <f>IF(13&gt;'Summary &amp; Assumptions'!$C$23,"",R28+R29)</f>
        <v/>
      </c>
      <c r="S30" s="38">
        <f>IF(14&gt;'Summary &amp; Assumptions'!$C$23,"",S28+S29)</f>
        <v/>
      </c>
      <c r="T30" s="38">
        <f>IF(15&gt;'Summary &amp; Assumptions'!$C$23,"",T28+T29)</f>
        <v/>
      </c>
    </row>
    <row r="31">
      <c r="A31" s="1" t="n"/>
      <c r="B31" s="17" t="inlineStr">
        <is>
          <t>Unlevered Cash Flow</t>
        </is>
      </c>
      <c r="C31" s="1" t="n"/>
      <c r="D31" s="1" t="n"/>
      <c r="E31" s="40">
        <f>-('Summary &amp; Assumptions'!$H$6+'Summary &amp; Assumptions'!$H$13)</f>
        <v/>
      </c>
      <c r="F31" s="40">
        <f>IF(1&gt;'Summary &amp; Assumptions'!$C$23,"",F26+F27+F30)</f>
        <v/>
      </c>
      <c r="G31" s="40">
        <f>IF(2&gt;'Summary &amp; Assumptions'!$C$23,"",G26+G27+G30)</f>
        <v/>
      </c>
      <c r="H31" s="40">
        <f>IF(3&gt;'Summary &amp; Assumptions'!$C$23,"",H26+H27+H30)</f>
        <v/>
      </c>
      <c r="I31" s="40">
        <f>IF(4&gt;'Summary &amp; Assumptions'!$C$23,"",I26+I27+I30)</f>
        <v/>
      </c>
      <c r="J31" s="40">
        <f>IF(5&gt;'Summary &amp; Assumptions'!$C$23,"",J26+J27+J30)</f>
        <v/>
      </c>
      <c r="K31" s="40">
        <f>IF(6&gt;'Summary &amp; Assumptions'!$C$23,"",K26+K27+K30)</f>
        <v/>
      </c>
      <c r="L31" s="40">
        <f>IF(7&gt;'Summary &amp; Assumptions'!$C$23,"",L26+L27+L30)</f>
        <v/>
      </c>
      <c r="M31" s="40">
        <f>IF(8&gt;'Summary &amp; Assumptions'!$C$23,"",M26+M27+M30)</f>
        <v/>
      </c>
      <c r="N31" s="40">
        <f>IF(9&gt;'Summary &amp; Assumptions'!$C$23,"",N26+N27+N30)</f>
        <v/>
      </c>
      <c r="O31" s="40">
        <f>IF(10&gt;'Summary &amp; Assumptions'!$C$23,"",O26+O27+O30)</f>
        <v/>
      </c>
      <c r="P31" s="40">
        <f>IF(11&gt;'Summary &amp; Assumptions'!$C$23,"",P26+P27+P30)</f>
        <v/>
      </c>
      <c r="Q31" s="40">
        <f>IF(12&gt;'Summary &amp; Assumptions'!$C$23,"",Q26+Q27+Q30)</f>
        <v/>
      </c>
      <c r="R31" s="40">
        <f>IF(13&gt;'Summary &amp; Assumptions'!$C$23,"",R26+R27+R30)</f>
        <v/>
      </c>
      <c r="S31" s="40">
        <f>IF(14&gt;'Summary &amp; Assumptions'!$C$23,"",S26+S27+S30)</f>
        <v/>
      </c>
      <c r="T31" s="40">
        <f>IF(15&gt;'Summary &amp; Assumptions'!$C$23,"",T26+T27+T30)</f>
        <v/>
      </c>
    </row>
    <row r="32">
      <c r="A32" s="1" t="n"/>
      <c r="B32" s="8" t="inlineStr">
        <is>
          <t>Unlevered IRR</t>
        </is>
      </c>
      <c r="C32" s="1" t="n"/>
      <c r="D32" s="28">
        <f>IF(OR('Summary &amp; Assumptions'!$H$6&lt;=0,'P&amp;L'!$Z$69&lt;=0),0,IFERROR(IRR(E31:T31),0))</f>
        <v/>
      </c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</row>
    <row r="34">
      <c r="A34" s="1" t="n"/>
      <c r="B34" s="6" t="inlineStr">
        <is>
          <t>Levered Cash Flow</t>
        </is>
      </c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 t="n"/>
      <c r="O34" s="7" t="n"/>
      <c r="P34" s="7" t="n"/>
      <c r="Q34" s="7" t="n"/>
      <c r="R34" s="7" t="n"/>
      <c r="S34" s="1" t="n"/>
      <c r="T34" s="1" t="n"/>
    </row>
    <row r="35">
      <c r="A35" s="1" t="n"/>
      <c r="B35" s="8" t="inlineStr">
        <is>
          <t>Debt Service</t>
        </is>
      </c>
      <c r="C35" s="1" t="n"/>
      <c r="D35" s="1" t="n"/>
      <c r="E35" s="1" t="n"/>
      <c r="F35" s="38">
        <f>IF(1&gt;'Summary &amp; Assumptions'!$C$23,"",-Debt!F39)</f>
        <v/>
      </c>
      <c r="G35" s="38">
        <f>IF(2&gt;'Summary &amp; Assumptions'!$C$23,"",-Debt!G39)</f>
        <v/>
      </c>
      <c r="H35" s="38">
        <f>IF(3&gt;'Summary &amp; Assumptions'!$C$23,"",-Debt!H39)</f>
        <v/>
      </c>
      <c r="I35" s="38">
        <f>IF(4&gt;'Summary &amp; Assumptions'!$C$23,"",-Debt!I39)</f>
        <v/>
      </c>
      <c r="J35" s="38">
        <f>IF(5&gt;'Summary &amp; Assumptions'!$C$23,"",-Debt!J39)</f>
        <v/>
      </c>
      <c r="K35" s="38">
        <f>IF(6&gt;'Summary &amp; Assumptions'!$C$23,"",-Debt!K39)</f>
        <v/>
      </c>
      <c r="L35" s="38">
        <f>IF(7&gt;'Summary &amp; Assumptions'!$C$23,"",-Debt!L39)</f>
        <v/>
      </c>
      <c r="M35" s="38">
        <f>IF(8&gt;'Summary &amp; Assumptions'!$C$23,"",-Debt!M39)</f>
        <v/>
      </c>
      <c r="N35" s="38">
        <f>IF(9&gt;'Summary &amp; Assumptions'!$C$23,"",-Debt!N39)</f>
        <v/>
      </c>
      <c r="O35" s="38">
        <f>IF(10&gt;'Summary &amp; Assumptions'!$C$23,"",-Debt!O39)</f>
        <v/>
      </c>
      <c r="P35" s="38">
        <f>IF(11&gt;'Summary &amp; Assumptions'!$C$23,"",-Debt!P39)</f>
        <v/>
      </c>
      <c r="Q35" s="38">
        <f>IF(12&gt;'Summary &amp; Assumptions'!$C$23,"",-Debt!Q39)</f>
        <v/>
      </c>
      <c r="R35" s="38">
        <f>IF(13&gt;'Summary &amp; Assumptions'!$C$23,"",-Debt!R39)</f>
        <v/>
      </c>
      <c r="S35" s="38">
        <f>IF(14&gt;'Summary &amp; Assumptions'!$C$23,"",-Debt!S39)</f>
        <v/>
      </c>
      <c r="T35" s="38">
        <f>IF(15&gt;'Summary &amp; Assumptions'!$C$23,"",-Debt!T39)</f>
        <v/>
      </c>
    </row>
    <row r="36">
      <c r="A36" s="1" t="n"/>
      <c r="B36" s="8" t="inlineStr">
        <is>
          <t>Loan Payoff + Exit Fees</t>
        </is>
      </c>
      <c r="C36" s="1" t="n"/>
      <c r="D36" s="1" t="n"/>
      <c r="E36" s="1" t="n"/>
      <c r="F36" s="38">
        <f>IF(1&gt;'Summary &amp; Assumptions'!$C$23,"",-Debt!F47)</f>
        <v/>
      </c>
      <c r="G36" s="38">
        <f>IF(2&gt;'Summary &amp; Assumptions'!$C$23,"",-Debt!G47)</f>
        <v/>
      </c>
      <c r="H36" s="38">
        <f>IF(3&gt;'Summary &amp; Assumptions'!$C$23,"",-Debt!H47)</f>
        <v/>
      </c>
      <c r="I36" s="38">
        <f>IF(4&gt;'Summary &amp; Assumptions'!$C$23,"",-Debt!I47)</f>
        <v/>
      </c>
      <c r="J36" s="38">
        <f>IF(5&gt;'Summary &amp; Assumptions'!$C$23,"",-Debt!J47)</f>
        <v/>
      </c>
      <c r="K36" s="38">
        <f>IF(6&gt;'Summary &amp; Assumptions'!$C$23,"",-Debt!K47)</f>
        <v/>
      </c>
      <c r="L36" s="38">
        <f>IF(7&gt;'Summary &amp; Assumptions'!$C$23,"",-Debt!L47)</f>
        <v/>
      </c>
      <c r="M36" s="38">
        <f>IF(8&gt;'Summary &amp; Assumptions'!$C$23,"",-Debt!M47)</f>
        <v/>
      </c>
      <c r="N36" s="38">
        <f>IF(9&gt;'Summary &amp; Assumptions'!$C$23,"",-Debt!N47)</f>
        <v/>
      </c>
      <c r="O36" s="38">
        <f>IF(10&gt;'Summary &amp; Assumptions'!$C$23,"",-Debt!O47)</f>
        <v/>
      </c>
      <c r="P36" s="38">
        <f>IF(11&gt;'Summary &amp; Assumptions'!$C$23,"",-Debt!P47)</f>
        <v/>
      </c>
      <c r="Q36" s="38">
        <f>IF(12&gt;'Summary &amp; Assumptions'!$C$23,"",-Debt!Q47)</f>
        <v/>
      </c>
      <c r="R36" s="38">
        <f>IF(13&gt;'Summary &amp; Assumptions'!$C$23,"",-Debt!R47)</f>
        <v/>
      </c>
      <c r="S36" s="38">
        <f>IF(14&gt;'Summary &amp; Assumptions'!$C$23,"",-Debt!S47)</f>
        <v/>
      </c>
      <c r="T36" s="38">
        <f>IF(15&gt;'Summary &amp; Assumptions'!$C$23,"",-Debt!T47)</f>
        <v/>
      </c>
    </row>
    <row r="37">
      <c r="A37" s="1" t="n"/>
      <c r="B37" s="8" t="inlineStr">
        <is>
          <t>Net Sale Proceeds after Debt</t>
        </is>
      </c>
      <c r="C37" s="1" t="n"/>
      <c r="D37" s="1" t="n"/>
      <c r="E37" s="1" t="n"/>
      <c r="F37" s="38">
        <f>IF(1&gt;'Summary &amp; Assumptions'!$C$23,"",F30+F36)</f>
        <v/>
      </c>
      <c r="G37" s="38">
        <f>IF(2&gt;'Summary &amp; Assumptions'!$C$23,"",G30+G36)</f>
        <v/>
      </c>
      <c r="H37" s="38">
        <f>IF(3&gt;'Summary &amp; Assumptions'!$C$23,"",H30+H36)</f>
        <v/>
      </c>
      <c r="I37" s="38">
        <f>IF(4&gt;'Summary &amp; Assumptions'!$C$23,"",I30+I36)</f>
        <v/>
      </c>
      <c r="J37" s="38">
        <f>IF(5&gt;'Summary &amp; Assumptions'!$C$23,"",J30+J36)</f>
        <v/>
      </c>
      <c r="K37" s="38">
        <f>IF(6&gt;'Summary &amp; Assumptions'!$C$23,"",K30+K36)</f>
        <v/>
      </c>
      <c r="L37" s="38">
        <f>IF(7&gt;'Summary &amp; Assumptions'!$C$23,"",L30+L36)</f>
        <v/>
      </c>
      <c r="M37" s="38">
        <f>IF(8&gt;'Summary &amp; Assumptions'!$C$23,"",M30+M36)</f>
        <v/>
      </c>
      <c r="N37" s="38">
        <f>IF(9&gt;'Summary &amp; Assumptions'!$C$23,"",N30+N36)</f>
        <v/>
      </c>
      <c r="O37" s="38">
        <f>IF(10&gt;'Summary &amp; Assumptions'!$C$23,"",O30+O36)</f>
        <v/>
      </c>
      <c r="P37" s="38">
        <f>IF(11&gt;'Summary &amp; Assumptions'!$C$23,"",P30+P36)</f>
        <v/>
      </c>
      <c r="Q37" s="38">
        <f>IF(12&gt;'Summary &amp; Assumptions'!$C$23,"",Q30+Q36)</f>
        <v/>
      </c>
      <c r="R37" s="38">
        <f>IF(13&gt;'Summary &amp; Assumptions'!$C$23,"",R30+R36)</f>
        <v/>
      </c>
      <c r="S37" s="38">
        <f>IF(14&gt;'Summary &amp; Assumptions'!$C$23,"",S30+S36)</f>
        <v/>
      </c>
      <c r="T37" s="38">
        <f>IF(15&gt;'Summary &amp; Assumptions'!$C$23,"",T30+T36)</f>
        <v/>
      </c>
    </row>
    <row r="38">
      <c r="A38" s="1" t="n"/>
      <c r="B38" s="8" t="inlineStr">
        <is>
          <t>Debt Balance (EOY)</t>
        </is>
      </c>
      <c r="C38" s="1" t="n"/>
      <c r="D38" s="1" t="n"/>
      <c r="E38" s="38">
        <f>'Summary &amp; Assumptions'!$C$68+'Summary &amp; Assumptions'!$C$69+'Summary &amp; Assumptions'!$C$70</f>
        <v/>
      </c>
      <c r="F38" s="38">
        <f>IF(1&gt;'Summary &amp; Assumptions'!$C$23,"",Debt!F55)</f>
        <v/>
      </c>
      <c r="G38" s="38">
        <f>IF(2&gt;'Summary &amp; Assumptions'!$C$23,"",Debt!G55)</f>
        <v/>
      </c>
      <c r="H38" s="38">
        <f>IF(3&gt;'Summary &amp; Assumptions'!$C$23,"",Debt!H55)</f>
        <v/>
      </c>
      <c r="I38" s="38">
        <f>IF(4&gt;'Summary &amp; Assumptions'!$C$23,"",Debt!I55)</f>
        <v/>
      </c>
      <c r="J38" s="38">
        <f>IF(5&gt;'Summary &amp; Assumptions'!$C$23,"",Debt!J55)</f>
        <v/>
      </c>
      <c r="K38" s="38">
        <f>IF(6&gt;'Summary &amp; Assumptions'!$C$23,"",Debt!K55)</f>
        <v/>
      </c>
      <c r="L38" s="38">
        <f>IF(7&gt;'Summary &amp; Assumptions'!$C$23,"",Debt!L55)</f>
        <v/>
      </c>
      <c r="M38" s="38">
        <f>IF(8&gt;'Summary &amp; Assumptions'!$C$23,"",Debt!M55)</f>
        <v/>
      </c>
      <c r="N38" s="38">
        <f>IF(9&gt;'Summary &amp; Assumptions'!$C$23,"",Debt!N55)</f>
        <v/>
      </c>
      <c r="O38" s="38">
        <f>IF(10&gt;'Summary &amp; Assumptions'!$C$23,"",Debt!O55)</f>
        <v/>
      </c>
      <c r="P38" s="38">
        <f>IF(11&gt;'Summary &amp; Assumptions'!$C$23,"",Debt!P55)</f>
        <v/>
      </c>
      <c r="Q38" s="38">
        <f>IF(12&gt;'Summary &amp; Assumptions'!$C$23,"",Debt!Q55)</f>
        <v/>
      </c>
      <c r="R38" s="38">
        <f>IF(13&gt;'Summary &amp; Assumptions'!$C$23,"",Debt!R55)</f>
        <v/>
      </c>
      <c r="S38" s="38">
        <f>IF(14&gt;'Summary &amp; Assumptions'!$C$23,"",Debt!S55)</f>
        <v/>
      </c>
      <c r="T38" s="38">
        <f>IF(15&gt;'Summary &amp; Assumptions'!$C$23,"",Debt!T55)</f>
        <v/>
      </c>
    </row>
    <row r="39">
      <c r="A39" s="1" t="n"/>
      <c r="B39" s="8" t="inlineStr">
        <is>
          <t>Asset Management Fee</t>
        </is>
      </c>
      <c r="C39" s="1" t="n"/>
      <c r="D39" s="1" t="n"/>
      <c r="E39" s="1" t="n"/>
      <c r="F39" s="38">
        <f>IF(1&gt;'Summary &amp; Assumptions'!$C$23,"",-('Investor Waterfall'!$H$8*'Summary &amp; Assumptions'!$C$73+'Investor Waterfall'!$H$9))</f>
        <v/>
      </c>
      <c r="G39" s="38">
        <f>IF(2&gt;'Summary &amp; Assumptions'!$C$23,"",-('Investor Waterfall'!$H$8*'Summary &amp; Assumptions'!$C$73+'Investor Waterfall'!$H$9))</f>
        <v/>
      </c>
      <c r="H39" s="38">
        <f>IF(3&gt;'Summary &amp; Assumptions'!$C$23,"",-('Investor Waterfall'!$H$8*'Summary &amp; Assumptions'!$C$73+'Investor Waterfall'!$H$9))</f>
        <v/>
      </c>
      <c r="I39" s="38">
        <f>IF(4&gt;'Summary &amp; Assumptions'!$C$23,"",-('Investor Waterfall'!$H$8*'Summary &amp; Assumptions'!$C$73+'Investor Waterfall'!$H$9))</f>
        <v/>
      </c>
      <c r="J39" s="38">
        <f>IF(5&gt;'Summary &amp; Assumptions'!$C$23,"",-('Investor Waterfall'!$H$8*'Summary &amp; Assumptions'!$C$73+'Investor Waterfall'!$H$9))</f>
        <v/>
      </c>
      <c r="K39" s="38">
        <f>IF(6&gt;'Summary &amp; Assumptions'!$C$23,"",-('Investor Waterfall'!$H$8*'Summary &amp; Assumptions'!$C$73+'Investor Waterfall'!$H$9))</f>
        <v/>
      </c>
      <c r="L39" s="38">
        <f>IF(7&gt;'Summary &amp; Assumptions'!$C$23,"",-('Investor Waterfall'!$H$8*'Summary &amp; Assumptions'!$C$73+'Investor Waterfall'!$H$9))</f>
        <v/>
      </c>
      <c r="M39" s="38">
        <f>IF(8&gt;'Summary &amp; Assumptions'!$C$23,"",-('Investor Waterfall'!$H$8*'Summary &amp; Assumptions'!$C$73+'Investor Waterfall'!$H$9))</f>
        <v/>
      </c>
      <c r="N39" s="38">
        <f>IF(9&gt;'Summary &amp; Assumptions'!$C$23,"",-('Investor Waterfall'!$H$8*'Summary &amp; Assumptions'!$C$73+'Investor Waterfall'!$H$9))</f>
        <v/>
      </c>
      <c r="O39" s="38">
        <f>IF(10&gt;'Summary &amp; Assumptions'!$C$23,"",-('Investor Waterfall'!$H$8*'Summary &amp; Assumptions'!$C$73+'Investor Waterfall'!$H$9))</f>
        <v/>
      </c>
      <c r="P39" s="38">
        <f>IF(11&gt;'Summary &amp; Assumptions'!$C$23,"",-('Investor Waterfall'!$H$8*'Summary &amp; Assumptions'!$C$73+'Investor Waterfall'!$H$9))</f>
        <v/>
      </c>
      <c r="Q39" s="38">
        <f>IF(12&gt;'Summary &amp; Assumptions'!$C$23,"",-('Investor Waterfall'!$H$8*'Summary &amp; Assumptions'!$C$73+'Investor Waterfall'!$H$9))</f>
        <v/>
      </c>
      <c r="R39" s="38">
        <f>IF(13&gt;'Summary &amp; Assumptions'!$C$23,"",-('Investor Waterfall'!$H$8*'Summary &amp; Assumptions'!$C$73+'Investor Waterfall'!$H$9))</f>
        <v/>
      </c>
      <c r="S39" s="38">
        <f>IF(14&gt;'Summary &amp; Assumptions'!$C$23,"",-('Investor Waterfall'!$H$8*'Summary &amp; Assumptions'!$C$73+'Investor Waterfall'!$H$9))</f>
        <v/>
      </c>
      <c r="T39" s="38">
        <f>IF(15&gt;'Summary &amp; Assumptions'!$C$23,"",-('Investor Waterfall'!$H$8*'Summary &amp; Assumptions'!$C$73+'Investor Waterfall'!$H$9))</f>
        <v/>
      </c>
    </row>
    <row r="40">
      <c r="A40" s="1" t="n"/>
      <c r="B40" s="17" t="inlineStr">
        <is>
          <t>Levered Cash Flow</t>
        </is>
      </c>
      <c r="C40" s="1" t="n"/>
      <c r="D40" s="1" t="n"/>
      <c r="E40" s="40">
        <f>-'Summary &amp; Assumptions'!$C$74</f>
        <v/>
      </c>
      <c r="F40" s="40">
        <f>IF(1&gt;'Summary &amp; Assumptions'!$C$23,"",F31+F35+F36+F39)</f>
        <v/>
      </c>
      <c r="G40" s="40">
        <f>IF(2&gt;'Summary &amp; Assumptions'!$C$23,"",G31+G35+G36+G39)</f>
        <v/>
      </c>
      <c r="H40" s="40">
        <f>IF(3&gt;'Summary &amp; Assumptions'!$C$23,"",H31+H35+H36+H39)</f>
        <v/>
      </c>
      <c r="I40" s="40">
        <f>IF(4&gt;'Summary &amp; Assumptions'!$C$23,"",I31+I35+I36+I39)</f>
        <v/>
      </c>
      <c r="J40" s="40">
        <f>IF(5&gt;'Summary &amp; Assumptions'!$C$23,"",J31+J35+J36+J39)</f>
        <v/>
      </c>
      <c r="K40" s="40">
        <f>IF(6&gt;'Summary &amp; Assumptions'!$C$23,"",K31+K35+K36+K39)</f>
        <v/>
      </c>
      <c r="L40" s="40">
        <f>IF(7&gt;'Summary &amp; Assumptions'!$C$23,"",L31+L35+L36+L39)</f>
        <v/>
      </c>
      <c r="M40" s="40">
        <f>IF(8&gt;'Summary &amp; Assumptions'!$C$23,"",M31+M35+M36+M39)</f>
        <v/>
      </c>
      <c r="N40" s="40">
        <f>IF(9&gt;'Summary &amp; Assumptions'!$C$23,"",N31+N35+N36+N39)</f>
        <v/>
      </c>
      <c r="O40" s="40">
        <f>IF(10&gt;'Summary &amp; Assumptions'!$C$23,"",O31+O35+O36+O39)</f>
        <v/>
      </c>
      <c r="P40" s="40">
        <f>IF(11&gt;'Summary &amp; Assumptions'!$C$23,"",P31+P35+P36+P39)</f>
        <v/>
      </c>
      <c r="Q40" s="40">
        <f>IF(12&gt;'Summary &amp; Assumptions'!$C$23,"",Q31+Q35+Q36+Q39)</f>
        <v/>
      </c>
      <c r="R40" s="40">
        <f>IF(13&gt;'Summary &amp; Assumptions'!$C$23,"",R31+R35+R36+R39)</f>
        <v/>
      </c>
      <c r="S40" s="40">
        <f>IF(14&gt;'Summary &amp; Assumptions'!$C$23,"",S31+S35+S36+S39)</f>
        <v/>
      </c>
      <c r="T40" s="40">
        <f>IF(15&gt;'Summary &amp; Assumptions'!$C$23,"",T31+T35+T36+T39)</f>
        <v/>
      </c>
    </row>
    <row r="41">
      <c r="A41" s="1" t="n"/>
      <c r="B41" s="8" t="inlineStr">
        <is>
          <t>Levered IRR</t>
        </is>
      </c>
      <c r="C41" s="1" t="n"/>
      <c r="D41" s="28">
        <f>IF(OR('Summary &amp; Assumptions'!$H$6&lt;=0,'P&amp;L'!$Z$69&lt;=0),0,IFERROR(IRR(E40:T40),0))</f>
        <v/>
      </c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</row>
    <row r="43">
      <c r="A43" s="1" t="n"/>
      <c r="B43" s="6" t="inlineStr">
        <is>
          <t>Operating Metrics</t>
        </is>
      </c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  <c r="M43" s="7" t="n"/>
      <c r="N43" s="7" t="n"/>
      <c r="O43" s="7" t="n"/>
      <c r="P43" s="7" t="n"/>
      <c r="Q43" s="7" t="n"/>
      <c r="R43" s="7" t="n"/>
      <c r="S43" s="1" t="n"/>
      <c r="T43" s="1" t="n"/>
    </row>
    <row r="44">
      <c r="A44" s="1" t="n"/>
      <c r="B44" s="8" t="inlineStr">
        <is>
          <t>Cash-on-Cash</t>
        </is>
      </c>
      <c r="C44" s="1" t="n"/>
      <c r="D44" s="1" t="n"/>
      <c r="E44" s="1" t="n"/>
      <c r="F44" s="41">
        <f>IF(1&gt;'Summary &amp; Assumptions'!$C$23,"",IFERROR((F26+F35+F39)/'Summary &amp; Assumptions'!$C$73,0))</f>
        <v/>
      </c>
      <c r="G44" s="41">
        <f>IF(2&gt;'Summary &amp; Assumptions'!$C$23,"",IFERROR((G26+G35+G39)/'Summary &amp; Assumptions'!$C$73,0))</f>
        <v/>
      </c>
      <c r="H44" s="41">
        <f>IF(3&gt;'Summary &amp; Assumptions'!$C$23,"",IFERROR((H26+H35+H39)/'Summary &amp; Assumptions'!$C$73,0))</f>
        <v/>
      </c>
      <c r="I44" s="41">
        <f>IF(4&gt;'Summary &amp; Assumptions'!$C$23,"",IFERROR((I26+I35+I39)/'Summary &amp; Assumptions'!$C$73,0))</f>
        <v/>
      </c>
      <c r="J44" s="41">
        <f>IF(5&gt;'Summary &amp; Assumptions'!$C$23,"",IFERROR((J26+J35+J39)/'Summary &amp; Assumptions'!$C$73,0))</f>
        <v/>
      </c>
      <c r="K44" s="41">
        <f>IF(6&gt;'Summary &amp; Assumptions'!$C$23,"",IFERROR((K26+K35+K39)/'Summary &amp; Assumptions'!$C$73,0))</f>
        <v/>
      </c>
      <c r="L44" s="41">
        <f>IF(7&gt;'Summary &amp; Assumptions'!$C$23,"",IFERROR((L26+L35+L39)/'Summary &amp; Assumptions'!$C$73,0))</f>
        <v/>
      </c>
      <c r="M44" s="41">
        <f>IF(8&gt;'Summary &amp; Assumptions'!$C$23,"",IFERROR((M26+M35+M39)/'Summary &amp; Assumptions'!$C$73,0))</f>
        <v/>
      </c>
      <c r="N44" s="41">
        <f>IF(9&gt;'Summary &amp; Assumptions'!$C$23,"",IFERROR((N26+N35+N39)/'Summary &amp; Assumptions'!$C$73,0))</f>
        <v/>
      </c>
      <c r="O44" s="41">
        <f>IF(10&gt;'Summary &amp; Assumptions'!$C$23,"",IFERROR((O26+O35+O39)/'Summary &amp; Assumptions'!$C$73,0))</f>
        <v/>
      </c>
      <c r="P44" s="41">
        <f>IF(11&gt;'Summary &amp; Assumptions'!$C$23,"",IFERROR((P26+P35+P39)/'Summary &amp; Assumptions'!$C$73,0))</f>
        <v/>
      </c>
      <c r="Q44" s="41">
        <f>IF(12&gt;'Summary &amp; Assumptions'!$C$23,"",IFERROR((Q26+Q35+Q39)/'Summary &amp; Assumptions'!$C$73,0))</f>
        <v/>
      </c>
      <c r="R44" s="41">
        <f>IF(13&gt;'Summary &amp; Assumptions'!$C$23,"",IFERROR((R26+R35+R39)/'Summary &amp; Assumptions'!$C$73,0))</f>
        <v/>
      </c>
      <c r="S44" s="41">
        <f>IF(14&gt;'Summary &amp; Assumptions'!$C$23,"",IFERROR((S26+S35+S39)/'Summary &amp; Assumptions'!$C$73,0))</f>
        <v/>
      </c>
      <c r="T44" s="41">
        <f>IF(15&gt;'Summary &amp; Assumptions'!$C$23,"",IFERROR((T26+T35+T39)/'Summary &amp; Assumptions'!$C$73,0))</f>
        <v/>
      </c>
    </row>
    <row r="45">
      <c r="A45" s="1" t="n"/>
      <c r="B45" s="8" t="inlineStr">
        <is>
          <t>DSCR (NOI excl. reno / Debt Service)</t>
        </is>
      </c>
      <c r="C45" s="1" t="n"/>
      <c r="D45" s="1" t="n"/>
      <c r="E45" s="1" t="n"/>
      <c r="F45" s="42">
        <f>IF(1&gt;'Summary &amp; Assumptions'!$C$23,"",IFERROR(F24/-F35,0))</f>
        <v/>
      </c>
      <c r="G45" s="42">
        <f>IF(2&gt;'Summary &amp; Assumptions'!$C$23,"",IFERROR(G24/-G35,0))</f>
        <v/>
      </c>
      <c r="H45" s="42">
        <f>IF(3&gt;'Summary &amp; Assumptions'!$C$23,"",IFERROR(H24/-H35,0))</f>
        <v/>
      </c>
      <c r="I45" s="42">
        <f>IF(4&gt;'Summary &amp; Assumptions'!$C$23,"",IFERROR(I24/-I35,0))</f>
        <v/>
      </c>
      <c r="J45" s="42">
        <f>IF(5&gt;'Summary &amp; Assumptions'!$C$23,"",IFERROR(J24/-J35,0))</f>
        <v/>
      </c>
      <c r="K45" s="42">
        <f>IF(6&gt;'Summary &amp; Assumptions'!$C$23,"",IFERROR(K24/-K35,0))</f>
        <v/>
      </c>
      <c r="L45" s="42">
        <f>IF(7&gt;'Summary &amp; Assumptions'!$C$23,"",IFERROR(L24/-L35,0))</f>
        <v/>
      </c>
      <c r="M45" s="42">
        <f>IF(8&gt;'Summary &amp; Assumptions'!$C$23,"",IFERROR(M24/-M35,0))</f>
        <v/>
      </c>
      <c r="N45" s="42">
        <f>IF(9&gt;'Summary &amp; Assumptions'!$C$23,"",IFERROR(N24/-N35,0))</f>
        <v/>
      </c>
      <c r="O45" s="42">
        <f>IF(10&gt;'Summary &amp; Assumptions'!$C$23,"",IFERROR(O24/-O35,0))</f>
        <v/>
      </c>
      <c r="P45" s="42">
        <f>IF(11&gt;'Summary &amp; Assumptions'!$C$23,"",IFERROR(P24/-P35,0))</f>
        <v/>
      </c>
      <c r="Q45" s="42">
        <f>IF(12&gt;'Summary &amp; Assumptions'!$C$23,"",IFERROR(Q24/-Q35,0))</f>
        <v/>
      </c>
      <c r="R45" s="42">
        <f>IF(13&gt;'Summary &amp; Assumptions'!$C$23,"",IFERROR(R24/-R35,0))</f>
        <v/>
      </c>
      <c r="S45" s="42">
        <f>IF(14&gt;'Summary &amp; Assumptions'!$C$23,"",IFERROR(S24/-S35,0))</f>
        <v/>
      </c>
      <c r="T45" s="42">
        <f>IF(15&gt;'Summary &amp; Assumptions'!$C$23,"",IFERROR(T24/-T35,0))</f>
        <v/>
      </c>
    </row>
    <row r="46">
      <c r="A46" s="1" t="n"/>
      <c r="B46" s="8" t="inlineStr">
        <is>
          <t>Debt Yield</t>
        </is>
      </c>
      <c r="C46" s="1" t="n"/>
      <c r="D46" s="1" t="n"/>
      <c r="E46" s="1" t="n"/>
      <c r="F46" s="41">
        <f>IF(1&gt;'Summary &amp; Assumptions'!$C$23,"",IFERROR(F23/F38,0))</f>
        <v/>
      </c>
      <c r="G46" s="41">
        <f>IF(2&gt;'Summary &amp; Assumptions'!$C$23,"",IFERROR(G23/G38,0))</f>
        <v/>
      </c>
      <c r="H46" s="41">
        <f>IF(3&gt;'Summary &amp; Assumptions'!$C$23,"",IFERROR(H23/H38,0))</f>
        <v/>
      </c>
      <c r="I46" s="41">
        <f>IF(4&gt;'Summary &amp; Assumptions'!$C$23,"",IFERROR(I23/I38,0))</f>
        <v/>
      </c>
      <c r="J46" s="41">
        <f>IF(5&gt;'Summary &amp; Assumptions'!$C$23,"",IFERROR(J23/J38,0))</f>
        <v/>
      </c>
      <c r="K46" s="41">
        <f>IF(6&gt;'Summary &amp; Assumptions'!$C$23,"",IFERROR(K23/K38,0))</f>
        <v/>
      </c>
      <c r="L46" s="41">
        <f>IF(7&gt;'Summary &amp; Assumptions'!$C$23,"",IFERROR(L23/L38,0))</f>
        <v/>
      </c>
      <c r="M46" s="41">
        <f>IF(8&gt;'Summary &amp; Assumptions'!$C$23,"",IFERROR(M23/M38,0))</f>
        <v/>
      </c>
      <c r="N46" s="41">
        <f>IF(9&gt;'Summary &amp; Assumptions'!$C$23,"",IFERROR(N23/N38,0))</f>
        <v/>
      </c>
      <c r="O46" s="41">
        <f>IF(10&gt;'Summary &amp; Assumptions'!$C$23,"",IFERROR(O23/O38,0))</f>
        <v/>
      </c>
      <c r="P46" s="41">
        <f>IF(11&gt;'Summary &amp; Assumptions'!$C$23,"",IFERROR(P23/P38,0))</f>
        <v/>
      </c>
      <c r="Q46" s="41">
        <f>IF(12&gt;'Summary &amp; Assumptions'!$C$23,"",IFERROR(Q23/Q38,0))</f>
        <v/>
      </c>
      <c r="R46" s="41">
        <f>IF(13&gt;'Summary &amp; Assumptions'!$C$23,"",IFERROR(R23/R38,0))</f>
        <v/>
      </c>
      <c r="S46" s="41">
        <f>IF(14&gt;'Summary &amp; Assumptions'!$C$23,"",IFERROR(S23/S38,0))</f>
        <v/>
      </c>
      <c r="T46" s="41">
        <f>IF(15&gt;'Summary &amp; Assumptions'!$C$23,"",IFERROR(T23/T38,0))</f>
        <v/>
      </c>
    </row>
    <row r="47">
      <c r="A47" s="1" t="n"/>
      <c r="B47" s="8" t="inlineStr">
        <is>
          <t>Implied Value (fwd NOI / exit cap)</t>
        </is>
      </c>
      <c r="C47" s="1" t="n"/>
      <c r="D47" s="1" t="n"/>
      <c r="E47" s="1" t="n"/>
      <c r="F47" s="38">
        <f>IF(1&gt;'Summary &amp; Assumptions'!$C$23,"",IFERROR(G23/'Summary &amp; Assumptions'!$M$8,0))</f>
        <v/>
      </c>
      <c r="G47" s="38">
        <f>IF(2&gt;'Summary &amp; Assumptions'!$C$23,"",IFERROR(H23/'Summary &amp; Assumptions'!$M$8,0))</f>
        <v/>
      </c>
      <c r="H47" s="38">
        <f>IF(3&gt;'Summary &amp; Assumptions'!$C$23,"",IFERROR(I23/'Summary &amp; Assumptions'!$M$8,0))</f>
        <v/>
      </c>
      <c r="I47" s="38">
        <f>IF(4&gt;'Summary &amp; Assumptions'!$C$23,"",IFERROR(J23/'Summary &amp; Assumptions'!$M$8,0))</f>
        <v/>
      </c>
      <c r="J47" s="38">
        <f>IF(5&gt;'Summary &amp; Assumptions'!$C$23,"",IFERROR(K23/'Summary &amp; Assumptions'!$M$8,0))</f>
        <v/>
      </c>
      <c r="K47" s="38">
        <f>IF(6&gt;'Summary &amp; Assumptions'!$C$23,"",IFERROR(L23/'Summary &amp; Assumptions'!$M$8,0))</f>
        <v/>
      </c>
      <c r="L47" s="38">
        <f>IF(7&gt;'Summary &amp; Assumptions'!$C$23,"",IFERROR(M23/'Summary &amp; Assumptions'!$M$8,0))</f>
        <v/>
      </c>
      <c r="M47" s="38">
        <f>IF(8&gt;'Summary &amp; Assumptions'!$C$23,"",IFERROR(N23/'Summary &amp; Assumptions'!$M$8,0))</f>
        <v/>
      </c>
      <c r="N47" s="38">
        <f>IF(9&gt;'Summary &amp; Assumptions'!$C$23,"",IFERROR(O23/'Summary &amp; Assumptions'!$M$8,0))</f>
        <v/>
      </c>
      <c r="O47" s="38">
        <f>IF(10&gt;'Summary &amp; Assumptions'!$C$23,"",IFERROR(P23/'Summary &amp; Assumptions'!$M$8,0))</f>
        <v/>
      </c>
      <c r="P47" s="38">
        <f>IF(11&gt;'Summary &amp; Assumptions'!$C$23,"",IFERROR(Q23/'Summary &amp; Assumptions'!$M$8,0))</f>
        <v/>
      </c>
      <c r="Q47" s="38">
        <f>IF(12&gt;'Summary &amp; Assumptions'!$C$23,"",IFERROR(R23/'Summary &amp; Assumptions'!$M$8,0))</f>
        <v/>
      </c>
      <c r="R47" s="38">
        <f>IF(13&gt;'Summary &amp; Assumptions'!$C$23,"",IFERROR(S23/'Summary &amp; Assumptions'!$M$8,0))</f>
        <v/>
      </c>
      <c r="S47" s="38">
        <f>IF(14&gt;'Summary &amp; Assumptions'!$C$23,"",IFERROR(T23/'Summary &amp; Assumptions'!$M$8,0))</f>
        <v/>
      </c>
      <c r="T47" s="38">
        <f>IF(15&gt;'Summary &amp; Assumptions'!$C$23,"",IFERROR(T23/'Summary &amp; Assumptions'!$M$8,0))</f>
        <v/>
      </c>
    </row>
    <row r="48">
      <c r="A48" s="1" t="n"/>
      <c r="B48" s="8" t="inlineStr">
        <is>
          <t>EGR Growth (YoY)</t>
        </is>
      </c>
      <c r="C48" s="1" t="n"/>
      <c r="D48" s="1" t="n"/>
      <c r="E48" s="1" t="n"/>
      <c r="F48" s="1" t="n"/>
      <c r="G48" s="36">
        <f>IF(2&gt;'Summary &amp; Assumptions'!$C$23,"",IFERROR(G16/F16-1,0))</f>
        <v/>
      </c>
      <c r="H48" s="36">
        <f>IF(3&gt;'Summary &amp; Assumptions'!$C$23,"",IFERROR(H16/G16-1,0))</f>
        <v/>
      </c>
      <c r="I48" s="36">
        <f>IF(4&gt;'Summary &amp; Assumptions'!$C$23,"",IFERROR(I16/H16-1,0))</f>
        <v/>
      </c>
      <c r="J48" s="36">
        <f>IF(5&gt;'Summary &amp; Assumptions'!$C$23,"",IFERROR(J16/I16-1,0))</f>
        <v/>
      </c>
      <c r="K48" s="36">
        <f>IF(6&gt;'Summary &amp; Assumptions'!$C$23,"",IFERROR(K16/J16-1,0))</f>
        <v/>
      </c>
      <c r="L48" s="36">
        <f>IF(7&gt;'Summary &amp; Assumptions'!$C$23,"",IFERROR(L16/K16-1,0))</f>
        <v/>
      </c>
      <c r="M48" s="36">
        <f>IF(8&gt;'Summary &amp; Assumptions'!$C$23,"",IFERROR(M16/L16-1,0))</f>
        <v/>
      </c>
      <c r="N48" s="36">
        <f>IF(9&gt;'Summary &amp; Assumptions'!$C$23,"",IFERROR(N16/M16-1,0))</f>
        <v/>
      </c>
      <c r="O48" s="36">
        <f>IF(10&gt;'Summary &amp; Assumptions'!$C$23,"",IFERROR(O16/N16-1,0))</f>
        <v/>
      </c>
      <c r="P48" s="36">
        <f>IF(11&gt;'Summary &amp; Assumptions'!$C$23,"",IFERROR(P16/O16-1,0))</f>
        <v/>
      </c>
      <c r="Q48" s="36">
        <f>IF(12&gt;'Summary &amp; Assumptions'!$C$23,"",IFERROR(Q16/P16-1,0))</f>
        <v/>
      </c>
      <c r="R48" s="36">
        <f>IF(13&gt;'Summary &amp; Assumptions'!$C$23,"",IFERROR(R16/Q16-1,0))</f>
        <v/>
      </c>
      <c r="S48" s="36">
        <f>IF(14&gt;'Summary &amp; Assumptions'!$C$23,"",IFERROR(S16/R16-1,0))</f>
        <v/>
      </c>
      <c r="T48" s="36">
        <f>IF(15&gt;'Summary &amp; Assumptions'!$C$23,"",IFERROR(T16/S16-1,0))</f>
        <v/>
      </c>
    </row>
    <row r="49" hidden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</row>
    <row r="50" hidden="1">
      <c r="A50" s="1" t="n"/>
      <c r="B50" s="6" t="inlineStr">
        <is>
          <t>Key Yields &amp; Risk</t>
        </is>
      </c>
      <c r="C50" s="7" t="n"/>
      <c r="D50" s="7" t="n"/>
      <c r="E50" s="7" t="n"/>
      <c r="F50" s="7" t="n"/>
      <c r="G50" s="7" t="n"/>
      <c r="H50" s="7" t="n"/>
      <c r="I50" s="7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</row>
    <row r="51" hidden="1">
      <c r="A51" s="1" t="n"/>
      <c r="B51" s="8" t="inlineStr">
        <is>
          <t>Yield-on-Cost (untrended)</t>
        </is>
      </c>
      <c r="C51" s="1" t="n"/>
      <c r="D51" s="23">
        <f>IFERROR($F$23/'Summary &amp; Assumptions'!$H$71,0)</f>
        <v/>
      </c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</row>
    <row r="52" hidden="1">
      <c r="A52" s="1" t="n"/>
      <c r="B52" s="8" t="inlineStr">
        <is>
          <t>Yield-on-Cost (trended, exit yr)</t>
        </is>
      </c>
      <c r="C52" s="1" t="n"/>
      <c r="D52" s="23">
        <f>IFERROR(INDEX($F$23:$T$23,1,MAX(1,MIN('Summary &amp; Assumptions'!$C$23,15)))/'Summary &amp; Assumptions'!$H$71,0)</f>
        <v/>
      </c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</row>
    <row r="53" hidden="1">
      <c r="A53" s="1" t="n"/>
      <c r="B53" s="8" t="inlineStr">
        <is>
          <t>Spread vs Exit Cap (untrended)</t>
        </is>
      </c>
      <c r="C53" s="1" t="n"/>
      <c r="D53" s="23">
        <f>$D$51-'Summary &amp; Assumptions'!$M$8</f>
        <v/>
      </c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</row>
    <row r="54" hidden="1">
      <c r="A54" s="1" t="n"/>
      <c r="B54" s="8" t="inlineStr">
        <is>
          <t>Debt Yield (Year 1)</t>
        </is>
      </c>
      <c r="C54" s="1" t="n"/>
      <c r="D54" s="23">
        <f>$F$46</f>
        <v/>
      </c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</row>
    <row r="55" hidden="1">
      <c r="A55" s="1" t="n"/>
      <c r="B55" s="8" t="inlineStr">
        <is>
          <t>DSCR (Year 1)</t>
        </is>
      </c>
      <c r="C55" s="1" t="n"/>
      <c r="D55" s="25">
        <f>$F$45</f>
        <v/>
      </c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</row>
    <row r="56" hidden="1">
      <c r="A56" s="1" t="n"/>
      <c r="B56" s="8" t="inlineStr">
        <is>
          <t>Break-Even Occupancy</t>
        </is>
      </c>
      <c r="C56" s="1" t="n"/>
      <c r="D56" s="23">
        <f>IFERROR((-$F$21-$F$35)/($F$13+$F$18+$F$15),0)</f>
        <v/>
      </c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</row>
    <row r="57" hidden="1">
      <c r="A57" s="1" t="n"/>
      <c r="B57" s="8" t="inlineStr">
        <is>
          <t>Going-In Cap Rate</t>
        </is>
      </c>
      <c r="C57" s="1" t="n"/>
      <c r="D57" s="23">
        <f>IFERROR($F$23/'Summary &amp; Assumptions'!$H$6,0)</f>
        <v/>
      </c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</row>
    <row r="58" hidden="1">
      <c r="A58" s="1" t="n"/>
      <c r="B58" s="8" t="inlineStr">
        <is>
          <t>Exit Cap Rate</t>
        </is>
      </c>
      <c r="C58" s="1" t="n"/>
      <c r="D58" s="23">
        <f>'Summary &amp; Assumptions'!$M$8</f>
        <v/>
      </c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</row>
    <row r="59" hidden="1">
      <c r="A59" s="1" t="n"/>
      <c r="B59" s="3" t="inlineStr">
        <is>
          <t>Contract outputs (hidden) — names the app reads; the visible rows above are the model</t>
        </is>
      </c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</row>
    <row r="60" hidden="1">
      <c r="A60" s="1" t="n"/>
      <c r="B60" s="3" t="inlineStr">
        <is>
          <t>Levered Operating CF (for CoC)</t>
        </is>
      </c>
      <c r="C60" s="1" t="n"/>
      <c r="D60" s="1" t="n"/>
      <c r="E60" s="1" t="n"/>
      <c r="F60" s="38">
        <f>IF(1&gt;'Summary &amp; Assumptions'!$C$23,"",F26+F35+F39)</f>
        <v/>
      </c>
      <c r="G60" s="38">
        <f>IF(2&gt;'Summary &amp; Assumptions'!$C$23,"",G26+G35+G39)</f>
        <v/>
      </c>
      <c r="H60" s="38">
        <f>IF(3&gt;'Summary &amp; Assumptions'!$C$23,"",H26+H35+H39)</f>
        <v/>
      </c>
      <c r="I60" s="38">
        <f>IF(4&gt;'Summary &amp; Assumptions'!$C$23,"",I26+I35+I39)</f>
        <v/>
      </c>
      <c r="J60" s="38">
        <f>IF(5&gt;'Summary &amp; Assumptions'!$C$23,"",J26+J35+J39)</f>
        <v/>
      </c>
      <c r="K60" s="38">
        <f>IF(6&gt;'Summary &amp; Assumptions'!$C$23,"",K26+K35+K39)</f>
        <v/>
      </c>
      <c r="L60" s="38">
        <f>IF(7&gt;'Summary &amp; Assumptions'!$C$23,"",L26+L35+L39)</f>
        <v/>
      </c>
      <c r="M60" s="38">
        <f>IF(8&gt;'Summary &amp; Assumptions'!$C$23,"",M26+M35+M39)</f>
        <v/>
      </c>
      <c r="N60" s="38">
        <f>IF(9&gt;'Summary &amp; Assumptions'!$C$23,"",N26+N35+N39)</f>
        <v/>
      </c>
      <c r="O60" s="38">
        <f>IF(10&gt;'Summary &amp; Assumptions'!$C$23,"",O26+O35+O39)</f>
        <v/>
      </c>
      <c r="P60" s="38">
        <f>IF(11&gt;'Summary &amp; Assumptions'!$C$23,"",P26+P35+P39)</f>
        <v/>
      </c>
      <c r="Q60" s="38">
        <f>IF(12&gt;'Summary &amp; Assumptions'!$C$23,"",Q26+Q35+Q39)</f>
        <v/>
      </c>
      <c r="R60" s="38">
        <f>IF(13&gt;'Summary &amp; Assumptions'!$C$23,"",R26+R35+R39)</f>
        <v/>
      </c>
      <c r="S60" s="38">
        <f>IF(14&gt;'Summary &amp; Assumptions'!$C$23,"",S26+S35+S39)</f>
        <v/>
      </c>
      <c r="T60" s="38">
        <f>IF(15&gt;'Summary &amp; Assumptions'!$C$23,"",T26+T35+T39)</f>
        <v/>
      </c>
    </row>
    <row r="61" hidden="1">
      <c r="A61" s="1" t="n"/>
      <c r="B61" s="8" t="inlineStr">
        <is>
          <t>NOI, 12 months after exit (forward)</t>
        </is>
      </c>
      <c r="C61" s="1" t="n"/>
      <c r="D61" s="43">
        <f>IFERROR(INDEX($F$23:$T$23,1,MIN('Summary &amp; Assumptions'!$C$23+1,15)),0)</f>
        <v/>
      </c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  <c r="T61" s="1" t="n"/>
    </row>
    <row r="62" hidden="1">
      <c r="A62" s="1" t="n"/>
      <c r="B62" s="8" t="inlineStr">
        <is>
          <t>NOI, 12 months before exit (trailing)</t>
        </is>
      </c>
      <c r="C62" s="1" t="n"/>
      <c r="D62" s="43">
        <f>IFERROR(INDEX($F$23:$T$23,1,MAX(1,MIN('Summary &amp; Assumptions'!$C$23,15))),0)</f>
        <v/>
      </c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</row>
    <row r="63" hidden="1">
      <c r="A63" s="1" t="n"/>
      <c r="B63" s="8" t="inlineStr">
        <is>
          <t>Net sale proceeds (exit)</t>
        </is>
      </c>
      <c r="C63" s="1" t="n"/>
      <c r="D63" s="43">
        <f>SUM(F30:T30)</f>
        <v/>
      </c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</row>
    <row r="64" hidden="1">
      <c r="A64" s="1" t="n"/>
      <c r="B64" s="8" t="inlineStr">
        <is>
          <t>Tie check (annual-only model: 0 by construction)</t>
        </is>
      </c>
      <c r="C64" s="1" t="n"/>
      <c r="D64" s="44">
        <f>0</f>
        <v/>
      </c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</row>
    <row r="65" hidden="1">
      <c r="A65" s="1" t="n"/>
      <c r="B65" s="8" t="inlineStr">
        <is>
          <t>Total levered profit over hold</t>
        </is>
      </c>
      <c r="C65" s="1" t="n"/>
      <c r="D65" s="43">
        <f>SUM(E40:T40)</f>
        <v/>
      </c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  <c r="R65" s="1" t="n"/>
      <c r="S65" s="1" t="n"/>
      <c r="T65" s="1" t="n"/>
    </row>
  </sheetData>
  <sheetProtection selectLockedCells="1" selectUnlockedCells="0" algorithmName="SHA-512" sheet="1" objects="1" insertRows="1" insertHyperlinks="1" autoFilter="1" scenarios="1" formatColumns="0" deleteColumns="1" insertColumns="1" pivotTables="1" deleteRows="1" formatCells="0" saltValue="kR2Lz1QJEyJLiHJBsVqNvQ==" formatRows="0" sort="1" spinCount="100000" hashValue="Npj19r5N85qwBCk4c3p/jsOKtxM6e1g92r/EaiYi0mQDXZkMNPqE1mHXM8k0HpofVJF1JugduiuQXHm1M5sHLA==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4164B0"/>
    <outlinePr summaryBelow="0" summaryRight="1"/>
    <pageSetUpPr/>
  </sheetPr>
  <dimension ref="A1:AP69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1"/>
  <cols>
    <col width="2" customWidth="1" style="1" min="1" max="1"/>
    <col width="32" customWidth="1" style="1" min="2" max="2"/>
    <col width="2" customWidth="1" style="1" min="3" max="3"/>
    <col hidden="1" outlineLevel="1" width="10" customWidth="1" style="1" min="4" max="4"/>
    <col hidden="1" outlineLevel="1" width="10" customWidth="1" style="1" min="5" max="5"/>
    <col hidden="1" outlineLevel="1" width="10" customWidth="1" style="1" min="6" max="6"/>
    <col hidden="1" outlineLevel="1" width="10" customWidth="1" style="1" min="7" max="7"/>
    <col hidden="1" outlineLevel="1" width="10" customWidth="1" style="1" min="8" max="8"/>
    <col hidden="1" outlineLevel="1" width="10" customWidth="1" style="1" min="9" max="9"/>
    <col hidden="1" outlineLevel="1" width="10" customWidth="1" style="1" min="10" max="10"/>
    <col hidden="1" outlineLevel="1" width="10" customWidth="1" style="1" min="11" max="11"/>
    <col hidden="1" outlineLevel="1" width="10" customWidth="1" style="1" min="12" max="12"/>
    <col hidden="1" outlineLevel="1" width="10" customWidth="1" style="1" min="13" max="13"/>
    <col hidden="1" outlineLevel="1" width="10" customWidth="1" style="1" min="14" max="14"/>
    <col hidden="1" outlineLevel="1" width="10" customWidth="1" style="1" min="15" max="15"/>
    <col hidden="1" outlineLevel="1" width="12" customWidth="1" style="1" min="16" max="16"/>
    <col hidden="1" outlineLevel="1" width="11" customWidth="1" style="1" min="17" max="17"/>
    <col hidden="1" outlineLevel="1" width="11" customWidth="1" style="1" min="18" max="18"/>
    <col hidden="1" outlineLevel="1" width="11" customWidth="1" style="1" min="19" max="19"/>
    <col hidden="1" outlineLevel="1" width="11" customWidth="1" style="1" min="20" max="20"/>
    <col hidden="1" outlineLevel="1" width="13" customWidth="1" style="1" min="21" max="21"/>
    <col hidden="1" outlineLevel="1" width="9" customWidth="1" style="1" min="22" max="22"/>
    <col hidden="1" outlineLevel="1" width="13" customWidth="1" style="1" min="23" max="23"/>
    <col hidden="1" outlineLevel="1" width="14" customWidth="1" style="1" min="24" max="24"/>
    <col hidden="1" outlineLevel="1" width="13" customWidth="1" style="1" min="25" max="25"/>
    <col hidden="1" outlineLevel="1" width="14" customWidth="1" style="1" min="26" max="26"/>
    <col hidden="1" outlineLevel="1" width="8" customWidth="1" style="1" min="27" max="27"/>
    <col width="13" customWidth="1" style="1" min="28" max="28"/>
    <col width="9" customWidth="1" style="1" min="29" max="29"/>
    <col width="13" customWidth="1" style="1" min="30" max="30"/>
    <col width="9" customWidth="1" style="1" min="31" max="31"/>
    <col width="13" customWidth="1" style="1" min="32" max="32"/>
    <col width="9" customWidth="1" style="1" min="33" max="33"/>
    <col width="13" customWidth="1" style="1" min="34" max="34"/>
    <col width="9" customWidth="1" style="1" min="35" max="35"/>
    <col width="13" customWidth="1" style="1" min="36" max="36"/>
    <col width="9" customWidth="1" style="1" min="37" max="37"/>
    <col hidden="1" width="3" customWidth="1" style="1" min="38" max="38"/>
    <col hidden="1" width="14" customWidth="1" style="1" min="39" max="39"/>
    <col hidden="1" outlineLevel="1" width="13" customWidth="1" style="1" min="40" max="40"/>
    <col hidden="1" outlineLevel="1" width="11" customWidth="1" style="1" min="41" max="41"/>
    <col hidden="1" width="26" customWidth="1" style="1" min="42" max="42"/>
    <col width="13" customWidth="1" style="1" min="43" max="43"/>
    <col width="13" customWidth="1" style="1" min="44" max="44"/>
    <col width="13" customWidth="1" style="1" min="45" max="45"/>
    <col width="13" customWidth="1" style="1" min="46" max="46"/>
    <col width="13" customWidth="1" style="1" min="47" max="47"/>
    <col width="13" customWidth="1" style="1" min="48" max="48"/>
    <col width="13" customWidth="1" style="1" min="49" max="49"/>
    <col width="13" customWidth="1" style="1" min="50" max="50"/>
    <col width="13" customWidth="1" style="1" min="51" max="51"/>
    <col width="13" customWidth="1" style="1" min="52" max="52"/>
    <col width="13" customWidth="1" style="1" min="53" max="53"/>
    <col width="13" customWidth="1" style="1" min="54" max="54"/>
    <col width="13" customWidth="1" style="1" min="55" max="55"/>
    <col width="13" customWidth="1" style="1" min="56" max="56"/>
    <col width="13" customWidth="1" style="1" min="57" max="57"/>
    <col width="13" customWidth="1" style="1" min="58" max="58"/>
    <col width="13" customWidth="1" style="1" min="59" max="59"/>
    <col width="13" customWidth="1" style="1" min="60" max="60"/>
    <col width="13" customWidth="1" style="1" min="61" max="61"/>
    <col width="13" customWidth="1" style="1" min="62" max="62"/>
    <col width="13" customWidth="1" style="1" min="63" max="63"/>
    <col width="13" customWidth="1" style="1" min="64" max="64"/>
    <col width="13" customWidth="1" style="1" min="65" max="65"/>
    <col width="13" customWidth="1" style="1" min="66" max="66"/>
    <col width="13" customWidth="1" style="1" min="67" max="67"/>
    <col width="13" customWidth="1" style="1" min="68" max="68"/>
    <col width="13" customWidth="1" style="1" min="69" max="69"/>
    <col width="13" customWidth="1" style="1" min="70" max="70"/>
    <col width="13" customWidth="1" style="1" min="71" max="71"/>
  </cols>
  <sheetData>
    <row r="1" ht="46" customHeight="1">
      <c r="A1" s="1" t="n"/>
      <c r="B1" s="2" t="n"/>
      <c r="C1" s="1" t="n"/>
      <c r="D1" s="3">
        <f>IF('Summary &amp; Assumptions'!$C$6="",IFERROR(LEFT('Summary &amp; Assumptions'!$C$7,FIND(",",'Summary &amp; Assumptions'!$C$7)-1),'Summary &amp; Assumptions'!$C$7),'Summary &amp; Assumptions'!$C$6)&amp;", "&amp;'Summary &amp; Assumptions'!$C$8&amp;", "&amp;'Summary &amp; Assumptions'!$C$9&amp;" - "&amp;'Summary &amp; Assumptions'!$C$11&amp;" Units - Built in "&amp;'Summary &amp; Assumptions'!$C$12</f>
        <v/>
      </c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</row>
    <row r="2">
      <c r="A2" s="1" t="n"/>
      <c r="B2" s="4" t="inlineStr">
        <is>
          <t>P&amp;L — History to Pro Forma</t>
        </is>
      </c>
      <c r="C2" s="1" t="n"/>
      <c r="D2" s="5" t="inlineStr">
        <is>
          <t>View Dashboard on Slung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  <c r="AA2" s="1" t="n"/>
      <c r="AB2" s="1" t="n"/>
      <c r="AC2" s="1" t="n"/>
      <c r="AD2" s="1" t="n"/>
      <c r="AE2" s="1" t="n"/>
      <c r="AF2" s="1" t="n"/>
      <c r="AG2" s="1" t="n"/>
      <c r="AH2" s="1" t="n"/>
      <c r="AI2" s="1" t="n"/>
      <c r="AJ2" s="1" t="n"/>
      <c r="AK2" s="1" t="n"/>
      <c r="AL2" s="1" t="n"/>
      <c r="AM2" s="1" t="n"/>
      <c r="AN2" s="1" t="n"/>
      <c r="AO2" s="1" t="n"/>
      <c r="AP2" s="1" t="n"/>
    </row>
    <row r="3">
      <c r="A3" s="1" t="n"/>
      <c r="B3" s="3" t="inlineStr">
        <is>
          <t>Press [+] above column T to expand the monthly history. Blank Year-1 input = adjusted T12 carries forward. Deductions entered positive.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  <c r="Y3" s="1" t="n"/>
      <c r="Z3" s="1" t="n"/>
      <c r="AA3" s="1" t="n"/>
      <c r="AB3" s="1" t="n"/>
      <c r="AC3" s="1" t="n"/>
      <c r="AD3" s="1" t="n"/>
      <c r="AE3" s="1" t="n"/>
      <c r="AF3" s="1" t="n"/>
      <c r="AG3" s="1" t="n"/>
      <c r="AH3" s="1" t="n"/>
      <c r="AI3" s="1" t="n"/>
      <c r="AJ3" s="1" t="n"/>
      <c r="AK3" s="1" t="n"/>
      <c r="AL3" s="1" t="n"/>
      <c r="AM3" s="1" t="n"/>
      <c r="AN3" s="1" t="n"/>
      <c r="AO3" s="1" t="n"/>
      <c r="AP3" s="1" t="n"/>
    </row>
    <row r="4">
      <c r="A4" s="1" t="n"/>
      <c r="B4" s="8" t="inlineStr">
        <is>
          <t>T12 Period Ending</t>
        </is>
      </c>
      <c r="C4" s="1" t="n"/>
      <c r="D4" s="45">
        <f>EOMONTH(TODAY(),-1)</f>
        <v/>
      </c>
      <c r="E4" s="1" t="n"/>
      <c r="F4" s="1" t="n"/>
      <c r="G4" s="46">
        <f>'OG T12'!$D$4</f>
        <v/>
      </c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  <c r="U4" s="1" t="n"/>
      <c r="V4" s="1" t="n"/>
      <c r="W4" s="1" t="n"/>
      <c r="X4" s="1" t="n"/>
      <c r="Y4" s="1" t="n"/>
      <c r="Z4" s="1" t="n"/>
      <c r="AA4" s="3">
        <f>IF($AB$4=$AB$6,1,IF($AB$4=$AD$6,2,IF($AB$4=$AF$6,3,IF($AB$4=$AH$6,4,IF($AB$4=$AJ$6,5,IF(AND('P&amp;L'!$U$28&gt;0,OR('P&amp;L'!$AM$4&lt;&gt;"Yes",N('Preferences'!$C$39)&lt;=0)),1,2))))))</f>
        <v/>
      </c>
      <c r="AB4" s="9">
        <f>IF(AND('P&amp;L'!$U$28&gt;0,OR('P&amp;L'!$AM$4&lt;&gt;"Yes",N('Preferences'!$C$39)&lt;=0)),'P&amp;L'!$U$6,"Market Estimate")</f>
        <v/>
      </c>
      <c r="AC4" s="1" t="n"/>
      <c r="AD4" s="8" t="inlineStr">
        <is>
          <t>← Choose the scenario that drives the model</t>
        </is>
      </c>
      <c r="AE4" s="1" t="n"/>
      <c r="AF4" s="1" t="n"/>
      <c r="AG4" s="1" t="n"/>
      <c r="AH4" s="1" t="n"/>
      <c r="AI4" s="1" t="n"/>
      <c r="AJ4" s="1" t="n"/>
      <c r="AK4" s="1" t="n"/>
      <c r="AL4" s="1" t="n"/>
      <c r="AM4" s="1" t="inlineStr">
        <is>
          <t>No</t>
        </is>
      </c>
      <c r="AN4" s="1" t="n"/>
      <c r="AO4" s="1" t="n"/>
      <c r="AP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  <c r="X5" s="1" t="n"/>
      <c r="Y5" s="1" t="n"/>
      <c r="Z5" s="1" t="n"/>
      <c r="AA5" s="3" t="inlineStr">
        <is>
          <t>In-Use:</t>
        </is>
      </c>
      <c r="AB5" s="34">
        <f>IF($AA$4=1,"In-Use","")</f>
        <v/>
      </c>
      <c r="AC5" s="1" t="n"/>
      <c r="AD5" s="34">
        <f>IF($AA$4=2,"In-Use","")</f>
        <v/>
      </c>
      <c r="AE5" s="1" t="n"/>
      <c r="AF5" s="34">
        <f>IF($AA$4=3,"In-Use","")</f>
        <v/>
      </c>
      <c r="AG5" s="1" t="n"/>
      <c r="AH5" s="34">
        <f>IF($AA$4=4,"In-Use","")</f>
        <v/>
      </c>
      <c r="AI5" s="1" t="n"/>
      <c r="AJ5" s="34">
        <f>IF($AA$4=5,"In-Use","")</f>
        <v/>
      </c>
      <c r="AK5" s="1" t="n"/>
      <c r="AL5" s="1" t="n"/>
      <c r="AM5" s="3">
        <f>AB6</f>
        <v/>
      </c>
      <c r="AN5" s="1" t="n"/>
      <c r="AO5" s="1" t="n"/>
      <c r="AP5" s="1" t="n"/>
    </row>
    <row r="6">
      <c r="A6" s="1" t="n"/>
      <c r="B6" s="1" t="n"/>
      <c r="C6" s="1" t="n"/>
      <c r="D6" s="47">
        <f>EDATE('P&amp;L'!$D$4,-11)</f>
        <v/>
      </c>
      <c r="E6" s="47">
        <f>EDATE('P&amp;L'!$D$4,-10)</f>
        <v/>
      </c>
      <c r="F6" s="47">
        <f>EDATE('P&amp;L'!$D$4,-9)</f>
        <v/>
      </c>
      <c r="G6" s="47">
        <f>EDATE('P&amp;L'!$D$4,-8)</f>
        <v/>
      </c>
      <c r="H6" s="47">
        <f>EDATE('P&amp;L'!$D$4,-7)</f>
        <v/>
      </c>
      <c r="I6" s="47">
        <f>EDATE('P&amp;L'!$D$4,-6)</f>
        <v/>
      </c>
      <c r="J6" s="47">
        <f>EDATE('P&amp;L'!$D$4,-5)</f>
        <v/>
      </c>
      <c r="K6" s="47">
        <f>EDATE('P&amp;L'!$D$4,-4)</f>
        <v/>
      </c>
      <c r="L6" s="47">
        <f>EDATE('P&amp;L'!$D$4,-3)</f>
        <v/>
      </c>
      <c r="M6" s="47">
        <f>EDATE('P&amp;L'!$D$4,-2)</f>
        <v/>
      </c>
      <c r="N6" s="47">
        <f>EDATE('P&amp;L'!$D$4,-1)</f>
        <v/>
      </c>
      <c r="O6" s="47">
        <f>EDATE('P&amp;L'!$D$4,0)</f>
        <v/>
      </c>
      <c r="P6" s="22" t="inlineStr">
        <is>
          <t>T12 Ann.</t>
        </is>
      </c>
      <c r="Q6" s="22" t="inlineStr">
        <is>
          <t>T9 Ann.</t>
        </is>
      </c>
      <c r="R6" s="22" t="inlineStr">
        <is>
          <t>T6 Ann.</t>
        </is>
      </c>
      <c r="S6" s="22" t="inlineStr">
        <is>
          <t>T3 Ann.</t>
        </is>
      </c>
      <c r="T6" s="22" t="inlineStr">
        <is>
          <t>Adjustment</t>
        </is>
      </c>
      <c r="U6" s="48" t="inlineStr">
        <is>
          <t>T12</t>
        </is>
      </c>
      <c r="V6" s="22" t="inlineStr">
        <is>
          <t>/ unit</t>
        </is>
      </c>
      <c r="W6" s="22" t="inlineStr">
        <is>
          <t>Year 1 Input</t>
        </is>
      </c>
      <c r="X6" s="22" t="inlineStr">
        <is>
          <t>Calc Type</t>
        </is>
      </c>
      <c r="Y6" s="22" t="inlineStr">
        <is>
          <t>Year 1 $</t>
        </is>
      </c>
      <c r="Z6" s="22" t="inlineStr">
        <is>
          <t>YEAR 1 FINAL</t>
        </is>
      </c>
      <c r="AA6" s="1" t="n"/>
      <c r="AB6" s="49">
        <f>'P&amp;L'!$U$6</f>
        <v/>
      </c>
      <c r="AC6" s="22" t="inlineStr">
        <is>
          <t>/unit</t>
        </is>
      </c>
      <c r="AD6" s="49">
        <f>"Market Estimate"</f>
        <v/>
      </c>
      <c r="AE6" s="22" t="inlineStr">
        <is>
          <t>/unit</t>
        </is>
      </c>
      <c r="AF6" s="50">
        <f>"Scenario 2"</f>
        <v/>
      </c>
      <c r="AG6" s="22" t="inlineStr">
        <is>
          <t>/unit</t>
        </is>
      </c>
      <c r="AH6" s="50">
        <f>"Scenario 3"</f>
        <v/>
      </c>
      <c r="AI6" s="22" t="inlineStr">
        <is>
          <t>/unit</t>
        </is>
      </c>
      <c r="AJ6" s="50">
        <f>"Scenario 4"</f>
        <v/>
      </c>
      <c r="AK6" s="22" t="inlineStr">
        <is>
          <t>/unit</t>
        </is>
      </c>
      <c r="AL6" s="1" t="n"/>
      <c r="AM6" s="3">
        <f>AD6</f>
        <v/>
      </c>
      <c r="AN6" s="22" t="inlineStr">
        <is>
          <t>Growth Override (%)</t>
        </is>
      </c>
      <c r="AO6" s="22" t="inlineStr">
        <is>
          <t>Ramp-Up (yrs)</t>
        </is>
      </c>
      <c r="AP6" s="22" t="inlineStr">
        <is>
          <t>Notes</t>
        </is>
      </c>
    </row>
    <row r="7">
      <c r="A7" s="1" t="n"/>
      <c r="B7" s="6" t="inlineStr">
        <is>
          <t>Income</t>
        </is>
      </c>
      <c r="C7" s="7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  <c r="V7" s="1" t="n"/>
      <c r="W7" s="1" t="n"/>
      <c r="X7" s="1" t="n"/>
      <c r="Y7" s="1" t="n"/>
      <c r="Z7" s="1" t="n"/>
      <c r="AA7" s="1" t="n"/>
      <c r="AB7" s="1" t="n"/>
      <c r="AC7" s="1" t="n"/>
      <c r="AD7" s="1" t="n"/>
      <c r="AE7" s="1" t="n"/>
      <c r="AF7" s="1" t="n"/>
      <c r="AG7" s="1" t="n"/>
      <c r="AH7" s="1" t="n"/>
      <c r="AI7" s="1" t="n"/>
      <c r="AJ7" s="1" t="n"/>
      <c r="AK7" s="1" t="n"/>
      <c r="AL7" s="1" t="n"/>
      <c r="AM7" s="3">
        <f>AF6</f>
        <v/>
      </c>
      <c r="AN7" s="1" t="n"/>
      <c r="AO7" s="1" t="n"/>
      <c r="AP7" s="1" t="n"/>
    </row>
    <row r="8">
      <c r="A8" s="1" t="n"/>
      <c r="B8" s="8" t="inlineStr">
        <is>
          <t>Residential Income (GPR)</t>
        </is>
      </c>
      <c r="C8" s="1" t="n"/>
      <c r="D8" s="51">
        <f>IFERROR(SUMPRODUCT((LEFT('OG T12'!$B$7:$B$226,LEN($B8))=$B8)*'OG T12'!$D$7:$P$226*(MONTH('OG T12'!$D$5:$P$5)=MONTH(D$6))*(YEAR('OG T12'!$D$5:$P$5)=YEAR(D$6))),0)</f>
        <v/>
      </c>
      <c r="E8" s="51">
        <f>IFERROR(SUMPRODUCT((LEFT('OG T12'!$B$7:$B$226,LEN($B8))=$B8)*'OG T12'!$D$7:$P$226*(MONTH('OG T12'!$D$5:$P$5)=MONTH(E$6))*(YEAR('OG T12'!$D$5:$P$5)=YEAR(E$6))),0)</f>
        <v/>
      </c>
      <c r="F8" s="51">
        <f>IFERROR(SUMPRODUCT((LEFT('OG T12'!$B$7:$B$226,LEN($B8))=$B8)*'OG T12'!$D$7:$P$226*(MONTH('OG T12'!$D$5:$P$5)=MONTH(F$6))*(YEAR('OG T12'!$D$5:$P$5)=YEAR(F$6))),0)</f>
        <v/>
      </c>
      <c r="G8" s="51">
        <f>IFERROR(SUMPRODUCT((LEFT('OG T12'!$B$7:$B$226,LEN($B8))=$B8)*'OG T12'!$D$7:$P$226*(MONTH('OG T12'!$D$5:$P$5)=MONTH(G$6))*(YEAR('OG T12'!$D$5:$P$5)=YEAR(G$6))),0)</f>
        <v/>
      </c>
      <c r="H8" s="51">
        <f>IFERROR(SUMPRODUCT((LEFT('OG T12'!$B$7:$B$226,LEN($B8))=$B8)*'OG T12'!$D$7:$P$226*(MONTH('OG T12'!$D$5:$P$5)=MONTH(H$6))*(YEAR('OG T12'!$D$5:$P$5)=YEAR(H$6))),0)</f>
        <v/>
      </c>
      <c r="I8" s="51">
        <f>IFERROR(SUMPRODUCT((LEFT('OG T12'!$B$7:$B$226,LEN($B8))=$B8)*'OG T12'!$D$7:$P$226*(MONTH('OG T12'!$D$5:$P$5)=MONTH(I$6))*(YEAR('OG T12'!$D$5:$P$5)=YEAR(I$6))),0)</f>
        <v/>
      </c>
      <c r="J8" s="51">
        <f>IFERROR(SUMPRODUCT((LEFT('OG T12'!$B$7:$B$226,LEN($B8))=$B8)*'OG T12'!$D$7:$P$226*(MONTH('OG T12'!$D$5:$P$5)=MONTH(J$6))*(YEAR('OG T12'!$D$5:$P$5)=YEAR(J$6))),0)</f>
        <v/>
      </c>
      <c r="K8" s="51">
        <f>IFERROR(SUMPRODUCT((LEFT('OG T12'!$B$7:$B$226,LEN($B8))=$B8)*'OG T12'!$D$7:$P$226*(MONTH('OG T12'!$D$5:$P$5)=MONTH(K$6))*(YEAR('OG T12'!$D$5:$P$5)=YEAR(K$6))),0)</f>
        <v/>
      </c>
      <c r="L8" s="51">
        <f>IFERROR(SUMPRODUCT((LEFT('OG T12'!$B$7:$B$226,LEN($B8))=$B8)*'OG T12'!$D$7:$P$226*(MONTH('OG T12'!$D$5:$P$5)=MONTH(L$6))*(YEAR('OG T12'!$D$5:$P$5)=YEAR(L$6))),0)</f>
        <v/>
      </c>
      <c r="M8" s="51">
        <f>IFERROR(SUMPRODUCT((LEFT('OG T12'!$B$7:$B$226,LEN($B8))=$B8)*'OG T12'!$D$7:$P$226*(MONTH('OG T12'!$D$5:$P$5)=MONTH(M$6))*(YEAR('OG T12'!$D$5:$P$5)=YEAR(M$6))),0)</f>
        <v/>
      </c>
      <c r="N8" s="51">
        <f>IFERROR(SUMPRODUCT((LEFT('OG T12'!$B$7:$B$226,LEN($B8))=$B8)*'OG T12'!$D$7:$P$226*(MONTH('OG T12'!$D$5:$P$5)=MONTH(N$6))*(YEAR('OG T12'!$D$5:$P$5)=YEAR(N$6))),0)</f>
        <v/>
      </c>
      <c r="O8" s="51">
        <f>IFERROR(SUMPRODUCT((LEFT('OG T12'!$B$7:$B$226,LEN($B8))=$B8)*'OG T12'!$D$7:$P$226*(MONTH('OG T12'!$D$5:$P$5)=MONTH(O$6))*(YEAR('OG T12'!$D$5:$P$5)=YEAR(O$6))),0)</f>
        <v/>
      </c>
      <c r="P8" s="51">
        <f>IF(SUMPRODUCT((LEFT('OG T12'!$B$7:$B$226,LEN($B8))=$B8)*ISNUMBER('OG T12'!$R$7:$R$226)*('OG T12'!$R$7:$R$226&lt;&gt;0))&gt;0,SUMPRODUCT(--(LEFT('OG T12'!$B$7:$B$226,LEN($B8))=$B8),'OG T12'!$R$7:$R$226),IF(COUNT(D8:O8)&gt;0,SUM(D8:O8),0))</f>
        <v/>
      </c>
      <c r="Q8" s="51">
        <f>IF(COUNT(G8:O8)&gt;0,SUM(G8:O8)/9*12,0)</f>
        <v/>
      </c>
      <c r="R8" s="51">
        <f>IF(COUNT(J8:O8)&gt;0,SUM(J8:O8)/6*12,0)</f>
        <v/>
      </c>
      <c r="S8" s="51">
        <f>IF(COUNT(M8:O8)&gt;0,SUM(M8:O8)/3*12,0)</f>
        <v/>
      </c>
      <c r="T8" s="52" t="n"/>
      <c r="U8" s="51">
        <f>IF($U$6="T9",IF(COUNT(D8:O8)&gt;0,Q8,P8),IF($U$6="T6",IF(COUNT(D8:O8)&gt;0,R8,P8),IF($U$6="T3",IF(COUNT(D8:O8)&gt;0,S8,P8),P8)))+T8</f>
        <v/>
      </c>
      <c r="V8" s="53">
        <f>IFERROR($U8/'Summary &amp; Assumptions'!$C$11,0)</f>
        <v/>
      </c>
      <c r="W8" s="52" t="n"/>
      <c r="X8" s="9" t="n"/>
      <c r="Y8" s="51">
        <f>IF($W8="",$U8,IF($X8="Total $",$W8,IF($X8="/ unit",$W8*'Summary &amp; Assumptions'!$C$11,IF($X8="% of EGR",$W8*'P&amp;L'!$U$28,IF($X8="/ SF",$W8*'Summary &amp; Assumptions'!$C$16,IF($X8="% of historicals",$W8*$U8,IF($X8="$ / occ. unit",$W8*'Summary &amp; Assumptions'!$C$15,$W8)))))))</f>
        <v/>
      </c>
      <c r="Z8" s="51">
        <f>CHOOSE($AA$4,N(AB8),N(AD8),N(AF8),N(AH8),N(AJ8))</f>
        <v/>
      </c>
      <c r="AA8" s="1" t="n"/>
      <c r="AB8" s="54">
        <f>Y8</f>
        <v/>
      </c>
      <c r="AC8" s="53">
        <f>IFERROR(AB8/'Summary &amp; Assumptions'!$C$11,0)</f>
        <v/>
      </c>
      <c r="AD8" s="52">
        <f>'Preferences'!$C$39*'Summary &amp; Assumptions'!$C$11*12</f>
        <v/>
      </c>
      <c r="AE8" s="53">
        <f>IFERROR(AD8/'Summary &amp; Assumptions'!$C$11,0)</f>
        <v/>
      </c>
      <c r="AF8" s="52" t="n"/>
      <c r="AG8" s="53">
        <f>IFERROR(AF8/'Summary &amp; Assumptions'!$C$11,0)</f>
        <v/>
      </c>
      <c r="AH8" s="52" t="n"/>
      <c r="AI8" s="53">
        <f>IFERROR(AH8/'Summary &amp; Assumptions'!$C$11,0)</f>
        <v/>
      </c>
      <c r="AJ8" s="52" t="n"/>
      <c r="AK8" s="53">
        <f>IFERROR(AJ8/'Summary &amp; Assumptions'!$C$11,0)</f>
        <v/>
      </c>
      <c r="AL8" s="1" t="n"/>
      <c r="AM8" s="3">
        <f>AH6</f>
        <v/>
      </c>
      <c r="AN8" s="13" t="n"/>
      <c r="AO8" s="14" t="n"/>
      <c r="AP8" s="9" t="n"/>
    </row>
    <row r="9" hidden="1" outlineLevel="1">
      <c r="A9" s="1" t="n"/>
      <c r="B9" s="8" t="inlineStr">
        <is>
          <t>Loss to Lease</t>
        </is>
      </c>
      <c r="C9" s="1" t="n"/>
      <c r="D9" s="51">
        <f>IFERROR(-SUMPRODUCT((LEFT('OG T12'!$B$7:$B$226,LEN($B9))=$B9)*'OG T12'!$D$7:$P$226*(MONTH('OG T12'!$D$5:$P$5)=MONTH(D$6))*(YEAR('OG T12'!$D$5:$P$5)=YEAR(D$6))),0)</f>
        <v/>
      </c>
      <c r="E9" s="51">
        <f>IFERROR(-SUMPRODUCT((LEFT('OG T12'!$B$7:$B$226,LEN($B9))=$B9)*'OG T12'!$D$7:$P$226*(MONTH('OG T12'!$D$5:$P$5)=MONTH(E$6))*(YEAR('OG T12'!$D$5:$P$5)=YEAR(E$6))),0)</f>
        <v/>
      </c>
      <c r="F9" s="51">
        <f>IFERROR(-SUMPRODUCT((LEFT('OG T12'!$B$7:$B$226,LEN($B9))=$B9)*'OG T12'!$D$7:$P$226*(MONTH('OG T12'!$D$5:$P$5)=MONTH(F$6))*(YEAR('OG T12'!$D$5:$P$5)=YEAR(F$6))),0)</f>
        <v/>
      </c>
      <c r="G9" s="51">
        <f>IFERROR(-SUMPRODUCT((LEFT('OG T12'!$B$7:$B$226,LEN($B9))=$B9)*'OG T12'!$D$7:$P$226*(MONTH('OG T12'!$D$5:$P$5)=MONTH(G$6))*(YEAR('OG T12'!$D$5:$P$5)=YEAR(G$6))),0)</f>
        <v/>
      </c>
      <c r="H9" s="51">
        <f>IFERROR(-SUMPRODUCT((LEFT('OG T12'!$B$7:$B$226,LEN($B9))=$B9)*'OG T12'!$D$7:$P$226*(MONTH('OG T12'!$D$5:$P$5)=MONTH(H$6))*(YEAR('OG T12'!$D$5:$P$5)=YEAR(H$6))),0)</f>
        <v/>
      </c>
      <c r="I9" s="51">
        <f>IFERROR(-SUMPRODUCT((LEFT('OG T12'!$B$7:$B$226,LEN($B9))=$B9)*'OG T12'!$D$7:$P$226*(MONTH('OG T12'!$D$5:$P$5)=MONTH(I$6))*(YEAR('OG T12'!$D$5:$P$5)=YEAR(I$6))),0)</f>
        <v/>
      </c>
      <c r="J9" s="51">
        <f>IFERROR(-SUMPRODUCT((LEFT('OG T12'!$B$7:$B$226,LEN($B9))=$B9)*'OG T12'!$D$7:$P$226*(MONTH('OG T12'!$D$5:$P$5)=MONTH(J$6))*(YEAR('OG T12'!$D$5:$P$5)=YEAR(J$6))),0)</f>
        <v/>
      </c>
      <c r="K9" s="51">
        <f>IFERROR(-SUMPRODUCT((LEFT('OG T12'!$B$7:$B$226,LEN($B9))=$B9)*'OG T12'!$D$7:$P$226*(MONTH('OG T12'!$D$5:$P$5)=MONTH(K$6))*(YEAR('OG T12'!$D$5:$P$5)=YEAR(K$6))),0)</f>
        <v/>
      </c>
      <c r="L9" s="51">
        <f>IFERROR(-SUMPRODUCT((LEFT('OG T12'!$B$7:$B$226,LEN($B9))=$B9)*'OG T12'!$D$7:$P$226*(MONTH('OG T12'!$D$5:$P$5)=MONTH(L$6))*(YEAR('OG T12'!$D$5:$P$5)=YEAR(L$6))),0)</f>
        <v/>
      </c>
      <c r="M9" s="51">
        <f>IFERROR(-SUMPRODUCT((LEFT('OG T12'!$B$7:$B$226,LEN($B9))=$B9)*'OG T12'!$D$7:$P$226*(MONTH('OG T12'!$D$5:$P$5)=MONTH(M$6))*(YEAR('OG T12'!$D$5:$P$5)=YEAR(M$6))),0)</f>
        <v/>
      </c>
      <c r="N9" s="51">
        <f>IFERROR(-SUMPRODUCT((LEFT('OG T12'!$B$7:$B$226,LEN($B9))=$B9)*'OG T12'!$D$7:$P$226*(MONTH('OG T12'!$D$5:$P$5)=MONTH(N$6))*(YEAR('OG T12'!$D$5:$P$5)=YEAR(N$6))),0)</f>
        <v/>
      </c>
      <c r="O9" s="51">
        <f>IFERROR(-SUMPRODUCT((LEFT('OG T12'!$B$7:$B$226,LEN($B9))=$B9)*'OG T12'!$D$7:$P$226*(MONTH('OG T12'!$D$5:$P$5)=MONTH(O$6))*(YEAR('OG T12'!$D$5:$P$5)=YEAR(O$6))),0)</f>
        <v/>
      </c>
      <c r="P9" s="51">
        <f>IF(SUMPRODUCT((LEFT('OG T12'!$B$7:$B$226,LEN($B9))=$B9)*ISNUMBER('OG T12'!$R$7:$R$226)*('OG T12'!$R$7:$R$226&lt;&gt;0))&gt;0,-SUMPRODUCT(--(LEFT('OG T12'!$B$7:$B$226,LEN($B9))=$B9),'OG T12'!$R$7:$R$226),IF(COUNT(D9:O9)&gt;0,SUM(D9:O9),0))</f>
        <v/>
      </c>
      <c r="Q9" s="51">
        <f>IF(COUNT(G9:O9)&gt;0,SUM(G9:O9)/9*12,0)</f>
        <v/>
      </c>
      <c r="R9" s="51">
        <f>IF(COUNT(J9:O9)&gt;0,SUM(J9:O9)/6*12,0)</f>
        <v/>
      </c>
      <c r="S9" s="51">
        <f>IF(COUNT(M9:O9)&gt;0,SUM(M9:O9)/3*12,0)</f>
        <v/>
      </c>
      <c r="T9" s="52" t="n"/>
      <c r="U9" s="51">
        <f>IF($U$6="T9",IF(COUNT(D9:O9)&gt;0,Q9,P9),IF($U$6="T6",IF(COUNT(D9:O9)&gt;0,R9,P9),IF($U$6="T3",IF(COUNT(D9:O9)&gt;0,S9,P9),P9)))+T9</f>
        <v/>
      </c>
      <c r="V9" s="53">
        <f>IFERROR($U9/'Summary &amp; Assumptions'!$C$11,0)</f>
        <v/>
      </c>
      <c r="W9" s="52" t="n"/>
      <c r="X9" s="9" t="n"/>
      <c r="Y9" s="51">
        <f>IF($W9="",$U9,IF($X9="Total $",$W9,IF($X9="/ unit",$W9*'Summary &amp; Assumptions'!$C$11,IF($X9="% of EGR",$W9*'P&amp;L'!$U$28,IF($X9="/ SF",$W9*'Summary &amp; Assumptions'!$C$16,IF($X9="% of historicals",$W9*$U9,IF($X9="$ / occ. unit",$W9*'Summary &amp; Assumptions'!$C$15,$W9)))))))</f>
        <v/>
      </c>
      <c r="Z9" s="51">
        <f>CHOOSE($AA$4,N(AB9),N(AD9),N(AF9),N(AH9),N(AJ9))</f>
        <v/>
      </c>
      <c r="AA9" s="1" t="n"/>
      <c r="AB9" s="54">
        <f>Y9</f>
        <v/>
      </c>
      <c r="AC9" s="53">
        <f>IFERROR(AB9/'Summary &amp; Assumptions'!$C$11,0)</f>
        <v/>
      </c>
      <c r="AD9" s="52" t="n">
        <v>0</v>
      </c>
      <c r="AE9" s="53">
        <f>IFERROR(AD9/'Summary &amp; Assumptions'!$C$11,0)</f>
        <v/>
      </c>
      <c r="AF9" s="52" t="n"/>
      <c r="AG9" s="53">
        <f>IFERROR(AF9/'Summary &amp; Assumptions'!$C$11,0)</f>
        <v/>
      </c>
      <c r="AH9" s="52" t="n"/>
      <c r="AI9" s="53">
        <f>IFERROR(AH9/'Summary &amp; Assumptions'!$C$11,0)</f>
        <v/>
      </c>
      <c r="AJ9" s="52" t="n"/>
      <c r="AK9" s="53">
        <f>IFERROR(AJ9/'Summary &amp; Assumptions'!$C$11,0)</f>
        <v/>
      </c>
      <c r="AL9" s="1" t="n"/>
      <c r="AM9" s="3">
        <f>AJ6</f>
        <v/>
      </c>
      <c r="AN9" s="13" t="n"/>
      <c r="AO9" s="14" t="n"/>
      <c r="AP9" s="9" t="n"/>
    </row>
    <row r="10">
      <c r="A10" s="1" t="n"/>
      <c r="B10" s="8" t="inlineStr">
        <is>
          <t>Vacancy</t>
        </is>
      </c>
      <c r="C10" s="1" t="n"/>
      <c r="D10" s="51">
        <f>IFERROR(-SUMPRODUCT((LEFT('OG T12'!$B$7:$B$226,LEN($B10))=$B10)*'OG T12'!$D$7:$P$226*(MONTH('OG T12'!$D$5:$P$5)=MONTH(D$6))*(YEAR('OG T12'!$D$5:$P$5)=YEAR(D$6))),0)</f>
        <v/>
      </c>
      <c r="E10" s="51">
        <f>IFERROR(-SUMPRODUCT((LEFT('OG T12'!$B$7:$B$226,LEN($B10))=$B10)*'OG T12'!$D$7:$P$226*(MONTH('OG T12'!$D$5:$P$5)=MONTH(E$6))*(YEAR('OG T12'!$D$5:$P$5)=YEAR(E$6))),0)</f>
        <v/>
      </c>
      <c r="F10" s="51">
        <f>IFERROR(-SUMPRODUCT((LEFT('OG T12'!$B$7:$B$226,LEN($B10))=$B10)*'OG T12'!$D$7:$P$226*(MONTH('OG T12'!$D$5:$P$5)=MONTH(F$6))*(YEAR('OG T12'!$D$5:$P$5)=YEAR(F$6))),0)</f>
        <v/>
      </c>
      <c r="G10" s="51">
        <f>IFERROR(-SUMPRODUCT((LEFT('OG T12'!$B$7:$B$226,LEN($B10))=$B10)*'OG T12'!$D$7:$P$226*(MONTH('OG T12'!$D$5:$P$5)=MONTH(G$6))*(YEAR('OG T12'!$D$5:$P$5)=YEAR(G$6))),0)</f>
        <v/>
      </c>
      <c r="H10" s="51">
        <f>IFERROR(-SUMPRODUCT((LEFT('OG T12'!$B$7:$B$226,LEN($B10))=$B10)*'OG T12'!$D$7:$P$226*(MONTH('OG T12'!$D$5:$P$5)=MONTH(H$6))*(YEAR('OG T12'!$D$5:$P$5)=YEAR(H$6))),0)</f>
        <v/>
      </c>
      <c r="I10" s="51">
        <f>IFERROR(-SUMPRODUCT((LEFT('OG T12'!$B$7:$B$226,LEN($B10))=$B10)*'OG T12'!$D$7:$P$226*(MONTH('OG T12'!$D$5:$P$5)=MONTH(I$6))*(YEAR('OG T12'!$D$5:$P$5)=YEAR(I$6))),0)</f>
        <v/>
      </c>
      <c r="J10" s="51">
        <f>IFERROR(-SUMPRODUCT((LEFT('OG T12'!$B$7:$B$226,LEN($B10))=$B10)*'OG T12'!$D$7:$P$226*(MONTH('OG T12'!$D$5:$P$5)=MONTH(J$6))*(YEAR('OG T12'!$D$5:$P$5)=YEAR(J$6))),0)</f>
        <v/>
      </c>
      <c r="K10" s="51">
        <f>IFERROR(-SUMPRODUCT((LEFT('OG T12'!$B$7:$B$226,LEN($B10))=$B10)*'OG T12'!$D$7:$P$226*(MONTH('OG T12'!$D$5:$P$5)=MONTH(K$6))*(YEAR('OG T12'!$D$5:$P$5)=YEAR(K$6))),0)</f>
        <v/>
      </c>
      <c r="L10" s="51">
        <f>IFERROR(-SUMPRODUCT((LEFT('OG T12'!$B$7:$B$226,LEN($B10))=$B10)*'OG T12'!$D$7:$P$226*(MONTH('OG T12'!$D$5:$P$5)=MONTH(L$6))*(YEAR('OG T12'!$D$5:$P$5)=YEAR(L$6))),0)</f>
        <v/>
      </c>
      <c r="M10" s="51">
        <f>IFERROR(-SUMPRODUCT((LEFT('OG T12'!$B$7:$B$226,LEN($B10))=$B10)*'OG T12'!$D$7:$P$226*(MONTH('OG T12'!$D$5:$P$5)=MONTH(M$6))*(YEAR('OG T12'!$D$5:$P$5)=YEAR(M$6))),0)</f>
        <v/>
      </c>
      <c r="N10" s="51">
        <f>IFERROR(-SUMPRODUCT((LEFT('OG T12'!$B$7:$B$226,LEN($B10))=$B10)*'OG T12'!$D$7:$P$226*(MONTH('OG T12'!$D$5:$P$5)=MONTH(N$6))*(YEAR('OG T12'!$D$5:$P$5)=YEAR(N$6))),0)</f>
        <v/>
      </c>
      <c r="O10" s="51">
        <f>IFERROR(-SUMPRODUCT((LEFT('OG T12'!$B$7:$B$226,LEN($B10))=$B10)*'OG T12'!$D$7:$P$226*(MONTH('OG T12'!$D$5:$P$5)=MONTH(O$6))*(YEAR('OG T12'!$D$5:$P$5)=YEAR(O$6))),0)</f>
        <v/>
      </c>
      <c r="P10" s="51">
        <f>IF(SUMPRODUCT((LEFT('OG T12'!$B$7:$B$226,LEN($B10))=$B10)*ISNUMBER('OG T12'!$R$7:$R$226)*('OG T12'!$R$7:$R$226&lt;&gt;0))&gt;0,-SUMPRODUCT(--(LEFT('OG T12'!$B$7:$B$226,LEN($B10))=$B10),'OG T12'!$R$7:$R$226),IF(COUNT(D10:O10)&gt;0,SUM(D10:O10),0))</f>
        <v/>
      </c>
      <c r="Q10" s="51">
        <f>IF(COUNT(G10:O10)&gt;0,SUM(G10:O10)/9*12,0)</f>
        <v/>
      </c>
      <c r="R10" s="51">
        <f>IF(COUNT(J10:O10)&gt;0,SUM(J10:O10)/6*12,0)</f>
        <v/>
      </c>
      <c r="S10" s="51">
        <f>IF(COUNT(M10:O10)&gt;0,SUM(M10:O10)/3*12,0)</f>
        <v/>
      </c>
      <c r="T10" s="52" t="n"/>
      <c r="U10" s="51">
        <f>IF($U$6="T9",IF(COUNT(D10:O10)&gt;0,Q10,P10),IF($U$6="T6",IF(COUNT(D10:O10)&gt;0,R10,P10),IF($U$6="T3",IF(COUNT(D10:O10)&gt;0,S10,P10),P10)))+T10</f>
        <v/>
      </c>
      <c r="V10" s="53">
        <f>IFERROR($U10/'Summary &amp; Assumptions'!$C$11,0)</f>
        <v/>
      </c>
      <c r="W10" s="52" t="n"/>
      <c r="X10" s="9" t="n"/>
      <c r="Y10" s="51">
        <f>IF($W10="",$U10,IF($X10="Total $",$W10,IF($X10="/ unit",$W10*'Summary &amp; Assumptions'!$C$11,IF($X10="% of EGR",$W10*'P&amp;L'!$U$28,IF($X10="/ SF",$W10*'Summary &amp; Assumptions'!$C$16,IF($X10="% of historicals",$W10*$U10,IF($X10="$ / occ. unit",$W10*'Summary &amp; Assumptions'!$C$15,$W10)))))))</f>
        <v/>
      </c>
      <c r="Z10" s="51">
        <f>CHOOSE($AA$4,N(AB10),N(AD10),N(AF10),N(AH10),N(AJ10))</f>
        <v/>
      </c>
      <c r="AA10" s="1" t="n"/>
      <c r="AB10" s="54">
        <f>Y10</f>
        <v/>
      </c>
      <c r="AC10" s="53">
        <f>IFERROR(AB10/'Summary &amp; Assumptions'!$C$11,0)</f>
        <v/>
      </c>
      <c r="AD10" s="52">
        <f>AD8*INDEX('CashFlow'!$F$9:$P$9,1,1)</f>
        <v/>
      </c>
      <c r="AE10" s="53">
        <f>IFERROR(AD10/'Summary &amp; Assumptions'!$C$11,0)</f>
        <v/>
      </c>
      <c r="AF10" s="52" t="n"/>
      <c r="AG10" s="53">
        <f>IFERROR(AF10/'Summary &amp; Assumptions'!$C$11,0)</f>
        <v/>
      </c>
      <c r="AH10" s="52" t="n"/>
      <c r="AI10" s="53">
        <f>IFERROR(AH10/'Summary &amp; Assumptions'!$C$11,0)</f>
        <v/>
      </c>
      <c r="AJ10" s="52" t="n"/>
      <c r="AK10" s="53">
        <f>IFERROR(AJ10/'Summary &amp; Assumptions'!$C$11,0)</f>
        <v/>
      </c>
      <c r="AL10" s="1" t="n"/>
      <c r="AM10" s="1" t="n"/>
      <c r="AN10" s="13" t="n"/>
      <c r="AO10" s="14" t="n"/>
      <c r="AP10" s="9" t="n"/>
    </row>
    <row r="11" hidden="1" outlineLevel="1">
      <c r="A11" s="1" t="n"/>
      <c r="B11" s="8" t="inlineStr">
        <is>
          <t>Non-Revenue Units</t>
        </is>
      </c>
      <c r="C11" s="1" t="n"/>
      <c r="D11" s="51">
        <f>IFERROR(-SUMPRODUCT((LEFT('OG T12'!$B$7:$B$226,LEN($B11))=$B11)*'OG T12'!$D$7:$P$226*(MONTH('OG T12'!$D$5:$P$5)=MONTH(D$6))*(YEAR('OG T12'!$D$5:$P$5)=YEAR(D$6))),0)</f>
        <v/>
      </c>
      <c r="E11" s="51">
        <f>IFERROR(-SUMPRODUCT((LEFT('OG T12'!$B$7:$B$226,LEN($B11))=$B11)*'OG T12'!$D$7:$P$226*(MONTH('OG T12'!$D$5:$P$5)=MONTH(E$6))*(YEAR('OG T12'!$D$5:$P$5)=YEAR(E$6))),0)</f>
        <v/>
      </c>
      <c r="F11" s="51">
        <f>IFERROR(-SUMPRODUCT((LEFT('OG T12'!$B$7:$B$226,LEN($B11))=$B11)*'OG T12'!$D$7:$P$226*(MONTH('OG T12'!$D$5:$P$5)=MONTH(F$6))*(YEAR('OG T12'!$D$5:$P$5)=YEAR(F$6))),0)</f>
        <v/>
      </c>
      <c r="G11" s="51">
        <f>IFERROR(-SUMPRODUCT((LEFT('OG T12'!$B$7:$B$226,LEN($B11))=$B11)*'OG T12'!$D$7:$P$226*(MONTH('OG T12'!$D$5:$P$5)=MONTH(G$6))*(YEAR('OG T12'!$D$5:$P$5)=YEAR(G$6))),0)</f>
        <v/>
      </c>
      <c r="H11" s="51">
        <f>IFERROR(-SUMPRODUCT((LEFT('OG T12'!$B$7:$B$226,LEN($B11))=$B11)*'OG T12'!$D$7:$P$226*(MONTH('OG T12'!$D$5:$P$5)=MONTH(H$6))*(YEAR('OG T12'!$D$5:$P$5)=YEAR(H$6))),0)</f>
        <v/>
      </c>
      <c r="I11" s="51">
        <f>IFERROR(-SUMPRODUCT((LEFT('OG T12'!$B$7:$B$226,LEN($B11))=$B11)*'OG T12'!$D$7:$P$226*(MONTH('OG T12'!$D$5:$P$5)=MONTH(I$6))*(YEAR('OG T12'!$D$5:$P$5)=YEAR(I$6))),0)</f>
        <v/>
      </c>
      <c r="J11" s="51">
        <f>IFERROR(-SUMPRODUCT((LEFT('OG T12'!$B$7:$B$226,LEN($B11))=$B11)*'OG T12'!$D$7:$P$226*(MONTH('OG T12'!$D$5:$P$5)=MONTH(J$6))*(YEAR('OG T12'!$D$5:$P$5)=YEAR(J$6))),0)</f>
        <v/>
      </c>
      <c r="K11" s="51">
        <f>IFERROR(-SUMPRODUCT((LEFT('OG T12'!$B$7:$B$226,LEN($B11))=$B11)*'OG T12'!$D$7:$P$226*(MONTH('OG T12'!$D$5:$P$5)=MONTH(K$6))*(YEAR('OG T12'!$D$5:$P$5)=YEAR(K$6))),0)</f>
        <v/>
      </c>
      <c r="L11" s="51">
        <f>IFERROR(-SUMPRODUCT((LEFT('OG T12'!$B$7:$B$226,LEN($B11))=$B11)*'OG T12'!$D$7:$P$226*(MONTH('OG T12'!$D$5:$P$5)=MONTH(L$6))*(YEAR('OG T12'!$D$5:$P$5)=YEAR(L$6))),0)</f>
        <v/>
      </c>
      <c r="M11" s="51">
        <f>IFERROR(-SUMPRODUCT((LEFT('OG T12'!$B$7:$B$226,LEN($B11))=$B11)*'OG T12'!$D$7:$P$226*(MONTH('OG T12'!$D$5:$P$5)=MONTH(M$6))*(YEAR('OG T12'!$D$5:$P$5)=YEAR(M$6))),0)</f>
        <v/>
      </c>
      <c r="N11" s="51">
        <f>IFERROR(-SUMPRODUCT((LEFT('OG T12'!$B$7:$B$226,LEN($B11))=$B11)*'OG T12'!$D$7:$P$226*(MONTH('OG T12'!$D$5:$P$5)=MONTH(N$6))*(YEAR('OG T12'!$D$5:$P$5)=YEAR(N$6))),0)</f>
        <v/>
      </c>
      <c r="O11" s="51">
        <f>IFERROR(-SUMPRODUCT((LEFT('OG T12'!$B$7:$B$226,LEN($B11))=$B11)*'OG T12'!$D$7:$P$226*(MONTH('OG T12'!$D$5:$P$5)=MONTH(O$6))*(YEAR('OG T12'!$D$5:$P$5)=YEAR(O$6))),0)</f>
        <v/>
      </c>
      <c r="P11" s="51">
        <f>IF(SUMPRODUCT((LEFT('OG T12'!$B$7:$B$226,LEN($B11))=$B11)*ISNUMBER('OG T12'!$R$7:$R$226)*('OG T12'!$R$7:$R$226&lt;&gt;0))&gt;0,-SUMPRODUCT(--(LEFT('OG T12'!$B$7:$B$226,LEN($B11))=$B11),'OG T12'!$R$7:$R$226),IF(COUNT(D11:O11)&gt;0,SUM(D11:O11),0))</f>
        <v/>
      </c>
      <c r="Q11" s="51">
        <f>IF(COUNT(G11:O11)&gt;0,SUM(G11:O11)/9*12,0)</f>
        <v/>
      </c>
      <c r="R11" s="51">
        <f>IF(COUNT(J11:O11)&gt;0,SUM(J11:O11)/6*12,0)</f>
        <v/>
      </c>
      <c r="S11" s="51">
        <f>IF(COUNT(M11:O11)&gt;0,SUM(M11:O11)/3*12,0)</f>
        <v/>
      </c>
      <c r="T11" s="52" t="n"/>
      <c r="U11" s="51">
        <f>IF($U$6="T9",IF(COUNT(D11:O11)&gt;0,Q11,P11),IF($U$6="T6",IF(COUNT(D11:O11)&gt;0,R11,P11),IF($U$6="T3",IF(COUNT(D11:O11)&gt;0,S11,P11),P11)))+T11</f>
        <v/>
      </c>
      <c r="V11" s="53">
        <f>IFERROR($U11/'Summary &amp; Assumptions'!$C$11,0)</f>
        <v/>
      </c>
      <c r="W11" s="52" t="n"/>
      <c r="X11" s="9" t="n"/>
      <c r="Y11" s="51">
        <f>IF($W11="",$U11,IF($X11="Total $",$W11,IF($X11="/ unit",$W11*'Summary &amp; Assumptions'!$C$11,IF($X11="% of EGR",$W11*'P&amp;L'!$U$28,IF($X11="/ SF",$W11*'Summary &amp; Assumptions'!$C$16,IF($X11="% of historicals",$W11*$U11,IF($X11="$ / occ. unit",$W11*'Summary &amp; Assumptions'!$C$15,$W11)))))))</f>
        <v/>
      </c>
      <c r="Z11" s="51">
        <f>CHOOSE($AA$4,N(AB11),N(AD11),N(AF11),N(AH11),N(AJ11))</f>
        <v/>
      </c>
      <c r="AA11" s="1" t="n"/>
      <c r="AB11" s="54">
        <f>Y11</f>
        <v/>
      </c>
      <c r="AC11" s="53">
        <f>IFERROR(AB11/'Summary &amp; Assumptions'!$C$11,0)</f>
        <v/>
      </c>
      <c r="AD11" s="52" t="n">
        <v>0</v>
      </c>
      <c r="AE11" s="53">
        <f>IFERROR(AD11/'Summary &amp; Assumptions'!$C$11,0)</f>
        <v/>
      </c>
      <c r="AF11" s="52" t="n"/>
      <c r="AG11" s="53">
        <f>IFERROR(AF11/'Summary &amp; Assumptions'!$C$11,0)</f>
        <v/>
      </c>
      <c r="AH11" s="52" t="n"/>
      <c r="AI11" s="53">
        <f>IFERROR(AH11/'Summary &amp; Assumptions'!$C$11,0)</f>
        <v/>
      </c>
      <c r="AJ11" s="52" t="n"/>
      <c r="AK11" s="53">
        <f>IFERROR(AJ11/'Summary &amp; Assumptions'!$C$11,0)</f>
        <v/>
      </c>
      <c r="AL11" s="1" t="n"/>
      <c r="AM11" s="1" t="n"/>
      <c r="AN11" s="13" t="n"/>
      <c r="AO11" s="14" t="n"/>
      <c r="AP11" s="9" t="n"/>
    </row>
    <row r="12">
      <c r="A12" s="1" t="n"/>
      <c r="B12" s="8" t="inlineStr">
        <is>
          <t>Concessions</t>
        </is>
      </c>
      <c r="C12" s="1" t="n"/>
      <c r="D12" s="51">
        <f>IFERROR(-SUMPRODUCT((LEFT('OG T12'!$B$7:$B$226,LEN($B12))=$B12)*'OG T12'!$D$7:$P$226*(MONTH('OG T12'!$D$5:$P$5)=MONTH(D$6))*(YEAR('OG T12'!$D$5:$P$5)=YEAR(D$6))),0)</f>
        <v/>
      </c>
      <c r="E12" s="51">
        <f>IFERROR(-SUMPRODUCT((LEFT('OG T12'!$B$7:$B$226,LEN($B12))=$B12)*'OG T12'!$D$7:$P$226*(MONTH('OG T12'!$D$5:$P$5)=MONTH(E$6))*(YEAR('OG T12'!$D$5:$P$5)=YEAR(E$6))),0)</f>
        <v/>
      </c>
      <c r="F12" s="51">
        <f>IFERROR(-SUMPRODUCT((LEFT('OG T12'!$B$7:$B$226,LEN($B12))=$B12)*'OG T12'!$D$7:$P$226*(MONTH('OG T12'!$D$5:$P$5)=MONTH(F$6))*(YEAR('OG T12'!$D$5:$P$5)=YEAR(F$6))),0)</f>
        <v/>
      </c>
      <c r="G12" s="51">
        <f>IFERROR(-SUMPRODUCT((LEFT('OG T12'!$B$7:$B$226,LEN($B12))=$B12)*'OG T12'!$D$7:$P$226*(MONTH('OG T12'!$D$5:$P$5)=MONTH(G$6))*(YEAR('OG T12'!$D$5:$P$5)=YEAR(G$6))),0)</f>
        <v/>
      </c>
      <c r="H12" s="51">
        <f>IFERROR(-SUMPRODUCT((LEFT('OG T12'!$B$7:$B$226,LEN($B12))=$B12)*'OG T12'!$D$7:$P$226*(MONTH('OG T12'!$D$5:$P$5)=MONTH(H$6))*(YEAR('OG T12'!$D$5:$P$5)=YEAR(H$6))),0)</f>
        <v/>
      </c>
      <c r="I12" s="51">
        <f>IFERROR(-SUMPRODUCT((LEFT('OG T12'!$B$7:$B$226,LEN($B12))=$B12)*'OG T12'!$D$7:$P$226*(MONTH('OG T12'!$D$5:$P$5)=MONTH(I$6))*(YEAR('OG T12'!$D$5:$P$5)=YEAR(I$6))),0)</f>
        <v/>
      </c>
      <c r="J12" s="51">
        <f>IFERROR(-SUMPRODUCT((LEFT('OG T12'!$B$7:$B$226,LEN($B12))=$B12)*'OG T12'!$D$7:$P$226*(MONTH('OG T12'!$D$5:$P$5)=MONTH(J$6))*(YEAR('OG T12'!$D$5:$P$5)=YEAR(J$6))),0)</f>
        <v/>
      </c>
      <c r="K12" s="51">
        <f>IFERROR(-SUMPRODUCT((LEFT('OG T12'!$B$7:$B$226,LEN($B12))=$B12)*'OG T12'!$D$7:$P$226*(MONTH('OG T12'!$D$5:$P$5)=MONTH(K$6))*(YEAR('OG T12'!$D$5:$P$5)=YEAR(K$6))),0)</f>
        <v/>
      </c>
      <c r="L12" s="51">
        <f>IFERROR(-SUMPRODUCT((LEFT('OG T12'!$B$7:$B$226,LEN($B12))=$B12)*'OG T12'!$D$7:$P$226*(MONTH('OG T12'!$D$5:$P$5)=MONTH(L$6))*(YEAR('OG T12'!$D$5:$P$5)=YEAR(L$6))),0)</f>
        <v/>
      </c>
      <c r="M12" s="51">
        <f>IFERROR(-SUMPRODUCT((LEFT('OG T12'!$B$7:$B$226,LEN($B12))=$B12)*'OG T12'!$D$7:$P$226*(MONTH('OG T12'!$D$5:$P$5)=MONTH(M$6))*(YEAR('OG T12'!$D$5:$P$5)=YEAR(M$6))),0)</f>
        <v/>
      </c>
      <c r="N12" s="51">
        <f>IFERROR(-SUMPRODUCT((LEFT('OG T12'!$B$7:$B$226,LEN($B12))=$B12)*'OG T12'!$D$7:$P$226*(MONTH('OG T12'!$D$5:$P$5)=MONTH(N$6))*(YEAR('OG T12'!$D$5:$P$5)=YEAR(N$6))),0)</f>
        <v/>
      </c>
      <c r="O12" s="51">
        <f>IFERROR(-SUMPRODUCT((LEFT('OG T12'!$B$7:$B$226,LEN($B12))=$B12)*'OG T12'!$D$7:$P$226*(MONTH('OG T12'!$D$5:$P$5)=MONTH(O$6))*(YEAR('OG T12'!$D$5:$P$5)=YEAR(O$6))),0)</f>
        <v/>
      </c>
      <c r="P12" s="51">
        <f>IF(SUMPRODUCT((LEFT('OG T12'!$B$7:$B$226,LEN($B12))=$B12)*ISNUMBER('OG T12'!$R$7:$R$226)*('OG T12'!$R$7:$R$226&lt;&gt;0))&gt;0,-SUMPRODUCT(--(LEFT('OG T12'!$B$7:$B$226,LEN($B12))=$B12),'OG T12'!$R$7:$R$226),IF(COUNT(D12:O12)&gt;0,SUM(D12:O12),0))</f>
        <v/>
      </c>
      <c r="Q12" s="51">
        <f>IF(COUNT(G12:O12)&gt;0,SUM(G12:O12)/9*12,0)</f>
        <v/>
      </c>
      <c r="R12" s="51">
        <f>IF(COUNT(J12:O12)&gt;0,SUM(J12:O12)/6*12,0)</f>
        <v/>
      </c>
      <c r="S12" s="51">
        <f>IF(COUNT(M12:O12)&gt;0,SUM(M12:O12)/3*12,0)</f>
        <v/>
      </c>
      <c r="T12" s="52" t="n"/>
      <c r="U12" s="51">
        <f>IF($U$6="T9",IF(COUNT(D12:O12)&gt;0,Q12,P12),IF($U$6="T6",IF(COUNT(D12:O12)&gt;0,R12,P12),IF($U$6="T3",IF(COUNT(D12:O12)&gt;0,S12,P12),P12)))+T12</f>
        <v/>
      </c>
      <c r="V12" s="53">
        <f>IFERROR($U12/'Summary &amp; Assumptions'!$C$11,0)</f>
        <v/>
      </c>
      <c r="W12" s="52" t="n"/>
      <c r="X12" s="9" t="n"/>
      <c r="Y12" s="51">
        <f>IF($W12="",$U12,IF($X12="Total $",$W12,IF($X12="/ unit",$W12*'Summary &amp; Assumptions'!$C$11,IF($X12="% of EGR",$W12*'P&amp;L'!$U$28,IF($X12="/ SF",$W12*'Summary &amp; Assumptions'!$C$16,IF($X12="% of historicals",$W12*$U12,IF($X12="$ / occ. unit",$W12*'Summary &amp; Assumptions'!$C$15,$W12)))))))</f>
        <v/>
      </c>
      <c r="Z12" s="51">
        <f>CHOOSE($AA$4,N(AB12),N(AD12),N(AF12),N(AH12),N(AJ12))</f>
        <v/>
      </c>
      <c r="AA12" s="1" t="n"/>
      <c r="AB12" s="54">
        <f>Y12</f>
        <v/>
      </c>
      <c r="AC12" s="53">
        <f>IFERROR(AB12/'Summary &amp; Assumptions'!$C$11,0)</f>
        <v/>
      </c>
      <c r="AD12" s="52" t="n">
        <v>0</v>
      </c>
      <c r="AE12" s="53">
        <f>IFERROR(AD12/'Summary &amp; Assumptions'!$C$11,0)</f>
        <v/>
      </c>
      <c r="AF12" s="52" t="n"/>
      <c r="AG12" s="53">
        <f>IFERROR(AF12/'Summary &amp; Assumptions'!$C$11,0)</f>
        <v/>
      </c>
      <c r="AH12" s="52" t="n"/>
      <c r="AI12" s="53">
        <f>IFERROR(AH12/'Summary &amp; Assumptions'!$C$11,0)</f>
        <v/>
      </c>
      <c r="AJ12" s="52" t="n"/>
      <c r="AK12" s="53">
        <f>IFERROR(AJ12/'Summary &amp; Assumptions'!$C$11,0)</f>
        <v/>
      </c>
      <c r="AL12" s="1" t="n"/>
      <c r="AM12" s="1" t="n"/>
      <c r="AN12" s="13" t="n"/>
      <c r="AO12" s="14" t="n"/>
      <c r="AP12" s="9" t="n"/>
    </row>
    <row r="13">
      <c r="A13" s="1" t="n"/>
      <c r="B13" s="8" t="inlineStr">
        <is>
          <t>Bad Debt/Collection Loss</t>
        </is>
      </c>
      <c r="C13" s="1" t="n"/>
      <c r="D13" s="51">
        <f>IFERROR(-SUMPRODUCT((LEFT('OG T12'!$B$7:$B$226,LEN($B13))=$B13)*'OG T12'!$D$7:$P$226*(MONTH('OG T12'!$D$5:$P$5)=MONTH(D$6))*(YEAR('OG T12'!$D$5:$P$5)=YEAR(D$6))),0)</f>
        <v/>
      </c>
      <c r="E13" s="51">
        <f>IFERROR(-SUMPRODUCT((LEFT('OG T12'!$B$7:$B$226,LEN($B13))=$B13)*'OG T12'!$D$7:$P$226*(MONTH('OG T12'!$D$5:$P$5)=MONTH(E$6))*(YEAR('OG T12'!$D$5:$P$5)=YEAR(E$6))),0)</f>
        <v/>
      </c>
      <c r="F13" s="51">
        <f>IFERROR(-SUMPRODUCT((LEFT('OG T12'!$B$7:$B$226,LEN($B13))=$B13)*'OG T12'!$D$7:$P$226*(MONTH('OG T12'!$D$5:$P$5)=MONTH(F$6))*(YEAR('OG T12'!$D$5:$P$5)=YEAR(F$6))),0)</f>
        <v/>
      </c>
      <c r="G13" s="51">
        <f>IFERROR(-SUMPRODUCT((LEFT('OG T12'!$B$7:$B$226,LEN($B13))=$B13)*'OG T12'!$D$7:$P$226*(MONTH('OG T12'!$D$5:$P$5)=MONTH(G$6))*(YEAR('OG T12'!$D$5:$P$5)=YEAR(G$6))),0)</f>
        <v/>
      </c>
      <c r="H13" s="51">
        <f>IFERROR(-SUMPRODUCT((LEFT('OG T12'!$B$7:$B$226,LEN($B13))=$B13)*'OG T12'!$D$7:$P$226*(MONTH('OG T12'!$D$5:$P$5)=MONTH(H$6))*(YEAR('OG T12'!$D$5:$P$5)=YEAR(H$6))),0)</f>
        <v/>
      </c>
      <c r="I13" s="51">
        <f>IFERROR(-SUMPRODUCT((LEFT('OG T12'!$B$7:$B$226,LEN($B13))=$B13)*'OG T12'!$D$7:$P$226*(MONTH('OG T12'!$D$5:$P$5)=MONTH(I$6))*(YEAR('OG T12'!$D$5:$P$5)=YEAR(I$6))),0)</f>
        <v/>
      </c>
      <c r="J13" s="51">
        <f>IFERROR(-SUMPRODUCT((LEFT('OG T12'!$B$7:$B$226,LEN($B13))=$B13)*'OG T12'!$D$7:$P$226*(MONTH('OG T12'!$D$5:$P$5)=MONTH(J$6))*(YEAR('OG T12'!$D$5:$P$5)=YEAR(J$6))),0)</f>
        <v/>
      </c>
      <c r="K13" s="51">
        <f>IFERROR(-SUMPRODUCT((LEFT('OG T12'!$B$7:$B$226,LEN($B13))=$B13)*'OG T12'!$D$7:$P$226*(MONTH('OG T12'!$D$5:$P$5)=MONTH(K$6))*(YEAR('OG T12'!$D$5:$P$5)=YEAR(K$6))),0)</f>
        <v/>
      </c>
      <c r="L13" s="51">
        <f>IFERROR(-SUMPRODUCT((LEFT('OG T12'!$B$7:$B$226,LEN($B13))=$B13)*'OG T12'!$D$7:$P$226*(MONTH('OG T12'!$D$5:$P$5)=MONTH(L$6))*(YEAR('OG T12'!$D$5:$P$5)=YEAR(L$6))),0)</f>
        <v/>
      </c>
      <c r="M13" s="51">
        <f>IFERROR(-SUMPRODUCT((LEFT('OG T12'!$B$7:$B$226,LEN($B13))=$B13)*'OG T12'!$D$7:$P$226*(MONTH('OG T12'!$D$5:$P$5)=MONTH(M$6))*(YEAR('OG T12'!$D$5:$P$5)=YEAR(M$6))),0)</f>
        <v/>
      </c>
      <c r="N13" s="51">
        <f>IFERROR(-SUMPRODUCT((LEFT('OG T12'!$B$7:$B$226,LEN($B13))=$B13)*'OG T12'!$D$7:$P$226*(MONTH('OG T12'!$D$5:$P$5)=MONTH(N$6))*(YEAR('OG T12'!$D$5:$P$5)=YEAR(N$6))),0)</f>
        <v/>
      </c>
      <c r="O13" s="51">
        <f>IFERROR(-SUMPRODUCT((LEFT('OG T12'!$B$7:$B$226,LEN($B13))=$B13)*'OG T12'!$D$7:$P$226*(MONTH('OG T12'!$D$5:$P$5)=MONTH(O$6))*(YEAR('OG T12'!$D$5:$P$5)=YEAR(O$6))),0)</f>
        <v/>
      </c>
      <c r="P13" s="51">
        <f>IF(SUMPRODUCT((LEFT('OG T12'!$B$7:$B$226,LEN($B13))=$B13)*ISNUMBER('OG T12'!$R$7:$R$226)*('OG T12'!$R$7:$R$226&lt;&gt;0))&gt;0,-SUMPRODUCT(--(LEFT('OG T12'!$B$7:$B$226,LEN($B13))=$B13),'OG T12'!$R$7:$R$226),IF(COUNT(D13:O13)&gt;0,SUM(D13:O13),0))</f>
        <v/>
      </c>
      <c r="Q13" s="51">
        <f>IF(COUNT(G13:O13)&gt;0,SUM(G13:O13)/9*12,0)</f>
        <v/>
      </c>
      <c r="R13" s="51">
        <f>IF(COUNT(J13:O13)&gt;0,SUM(J13:O13)/6*12,0)</f>
        <v/>
      </c>
      <c r="S13" s="51">
        <f>IF(COUNT(M13:O13)&gt;0,SUM(M13:O13)/3*12,0)</f>
        <v/>
      </c>
      <c r="T13" s="52" t="n"/>
      <c r="U13" s="51">
        <f>IF($U$6="T9",IF(COUNT(D13:O13)&gt;0,Q13,P13),IF($U$6="T6",IF(COUNT(D13:O13)&gt;0,R13,P13),IF($U$6="T3",IF(COUNT(D13:O13)&gt;0,S13,P13),P13)))+T13</f>
        <v/>
      </c>
      <c r="V13" s="53">
        <f>IFERROR($U13/'Summary &amp; Assumptions'!$C$11,0)</f>
        <v/>
      </c>
      <c r="W13" s="52" t="n"/>
      <c r="X13" s="9" t="n"/>
      <c r="Y13" s="51">
        <f>IF($W13="",$U13,IF($X13="Total $",$W13,IF($X13="/ unit",$W13*'Summary &amp; Assumptions'!$C$11,IF($X13="% of EGR",$W13*'P&amp;L'!$U$28,IF($X13="/ SF",$W13*'Summary &amp; Assumptions'!$C$16,IF($X13="% of historicals",$W13*$U13,IF($X13="$ / occ. unit",$W13*'Summary &amp; Assumptions'!$C$15,$W13)))))))</f>
        <v/>
      </c>
      <c r="Z13" s="51">
        <f>CHOOSE($AA$4,N(AB13),N(AD13),N(AF13),N(AH13),N(AJ13))</f>
        <v/>
      </c>
      <c r="AA13" s="1" t="n"/>
      <c r="AB13" s="54">
        <f>Y13</f>
        <v/>
      </c>
      <c r="AC13" s="53">
        <f>IFERROR(AB13/'Summary &amp; Assumptions'!$C$11,0)</f>
        <v/>
      </c>
      <c r="AD13" s="52" t="n">
        <v>0</v>
      </c>
      <c r="AE13" s="53">
        <f>IFERROR(AD13/'Summary &amp; Assumptions'!$C$11,0)</f>
        <v/>
      </c>
      <c r="AF13" s="52" t="n"/>
      <c r="AG13" s="53">
        <f>IFERROR(AF13/'Summary &amp; Assumptions'!$C$11,0)</f>
        <v/>
      </c>
      <c r="AH13" s="52" t="n"/>
      <c r="AI13" s="53">
        <f>IFERROR(AH13/'Summary &amp; Assumptions'!$C$11,0)</f>
        <v/>
      </c>
      <c r="AJ13" s="52" t="n"/>
      <c r="AK13" s="53">
        <f>IFERROR(AJ13/'Summary &amp; Assumptions'!$C$11,0)</f>
        <v/>
      </c>
      <c r="AL13" s="1" t="n"/>
      <c r="AM13" s="1" t="n"/>
      <c r="AN13" s="13" t="n"/>
      <c r="AO13" s="14" t="n"/>
      <c r="AP13" s="9" t="n"/>
    </row>
    <row r="14">
      <c r="A14" s="1" t="n"/>
      <c r="B14" s="8" t="inlineStr">
        <is>
          <t>Reimbursements (RUBS)</t>
        </is>
      </c>
      <c r="C14" s="1" t="n"/>
      <c r="D14" s="51">
        <f>IFERROR(SUMPRODUCT((LEFT('OG T12'!$B$7:$B$226,LEN($B14))=$B14)*'OG T12'!$D$7:$P$226*(MONTH('OG T12'!$D$5:$P$5)=MONTH(D$6))*(YEAR('OG T12'!$D$5:$P$5)=YEAR(D$6))),0)</f>
        <v/>
      </c>
      <c r="E14" s="51">
        <f>IFERROR(SUMPRODUCT((LEFT('OG T12'!$B$7:$B$226,LEN($B14))=$B14)*'OG T12'!$D$7:$P$226*(MONTH('OG T12'!$D$5:$P$5)=MONTH(E$6))*(YEAR('OG T12'!$D$5:$P$5)=YEAR(E$6))),0)</f>
        <v/>
      </c>
      <c r="F14" s="51">
        <f>IFERROR(SUMPRODUCT((LEFT('OG T12'!$B$7:$B$226,LEN($B14))=$B14)*'OG T12'!$D$7:$P$226*(MONTH('OG T12'!$D$5:$P$5)=MONTH(F$6))*(YEAR('OG T12'!$D$5:$P$5)=YEAR(F$6))),0)</f>
        <v/>
      </c>
      <c r="G14" s="51">
        <f>IFERROR(SUMPRODUCT((LEFT('OG T12'!$B$7:$B$226,LEN($B14))=$B14)*'OG T12'!$D$7:$P$226*(MONTH('OG T12'!$D$5:$P$5)=MONTH(G$6))*(YEAR('OG T12'!$D$5:$P$5)=YEAR(G$6))),0)</f>
        <v/>
      </c>
      <c r="H14" s="51">
        <f>IFERROR(SUMPRODUCT((LEFT('OG T12'!$B$7:$B$226,LEN($B14))=$B14)*'OG T12'!$D$7:$P$226*(MONTH('OG T12'!$D$5:$P$5)=MONTH(H$6))*(YEAR('OG T12'!$D$5:$P$5)=YEAR(H$6))),0)</f>
        <v/>
      </c>
      <c r="I14" s="51">
        <f>IFERROR(SUMPRODUCT((LEFT('OG T12'!$B$7:$B$226,LEN($B14))=$B14)*'OG T12'!$D$7:$P$226*(MONTH('OG T12'!$D$5:$P$5)=MONTH(I$6))*(YEAR('OG T12'!$D$5:$P$5)=YEAR(I$6))),0)</f>
        <v/>
      </c>
      <c r="J14" s="51">
        <f>IFERROR(SUMPRODUCT((LEFT('OG T12'!$B$7:$B$226,LEN($B14))=$B14)*'OG T12'!$D$7:$P$226*(MONTH('OG T12'!$D$5:$P$5)=MONTH(J$6))*(YEAR('OG T12'!$D$5:$P$5)=YEAR(J$6))),0)</f>
        <v/>
      </c>
      <c r="K14" s="51">
        <f>IFERROR(SUMPRODUCT((LEFT('OG T12'!$B$7:$B$226,LEN($B14))=$B14)*'OG T12'!$D$7:$P$226*(MONTH('OG T12'!$D$5:$P$5)=MONTH(K$6))*(YEAR('OG T12'!$D$5:$P$5)=YEAR(K$6))),0)</f>
        <v/>
      </c>
      <c r="L14" s="51">
        <f>IFERROR(SUMPRODUCT((LEFT('OG T12'!$B$7:$B$226,LEN($B14))=$B14)*'OG T12'!$D$7:$P$226*(MONTH('OG T12'!$D$5:$P$5)=MONTH(L$6))*(YEAR('OG T12'!$D$5:$P$5)=YEAR(L$6))),0)</f>
        <v/>
      </c>
      <c r="M14" s="51">
        <f>IFERROR(SUMPRODUCT((LEFT('OG T12'!$B$7:$B$226,LEN($B14))=$B14)*'OG T12'!$D$7:$P$226*(MONTH('OG T12'!$D$5:$P$5)=MONTH(M$6))*(YEAR('OG T12'!$D$5:$P$5)=YEAR(M$6))),0)</f>
        <v/>
      </c>
      <c r="N14" s="51">
        <f>IFERROR(SUMPRODUCT((LEFT('OG T12'!$B$7:$B$226,LEN($B14))=$B14)*'OG T12'!$D$7:$P$226*(MONTH('OG T12'!$D$5:$P$5)=MONTH(N$6))*(YEAR('OG T12'!$D$5:$P$5)=YEAR(N$6))),0)</f>
        <v/>
      </c>
      <c r="O14" s="51">
        <f>IFERROR(SUMPRODUCT((LEFT('OG T12'!$B$7:$B$226,LEN($B14))=$B14)*'OG T12'!$D$7:$P$226*(MONTH('OG T12'!$D$5:$P$5)=MONTH(O$6))*(YEAR('OG T12'!$D$5:$P$5)=YEAR(O$6))),0)</f>
        <v/>
      </c>
      <c r="P14" s="51">
        <f>IF(SUMPRODUCT((LEFT('OG T12'!$B$7:$B$226,LEN($B14))=$B14)*ISNUMBER('OG T12'!$R$7:$R$226)*('OG T12'!$R$7:$R$226&lt;&gt;0))&gt;0,SUMPRODUCT(--(LEFT('OG T12'!$B$7:$B$226,LEN($B14))=$B14),'OG T12'!$R$7:$R$226),IF(COUNT(D14:O14)&gt;0,SUM(D14:O14),0))</f>
        <v/>
      </c>
      <c r="Q14" s="51">
        <f>IF(COUNT(G14:O14)&gt;0,SUM(G14:O14)/9*12,0)</f>
        <v/>
      </c>
      <c r="R14" s="51">
        <f>IF(COUNT(J14:O14)&gt;0,SUM(J14:O14)/6*12,0)</f>
        <v/>
      </c>
      <c r="S14" s="51">
        <f>IF(COUNT(M14:O14)&gt;0,SUM(M14:O14)/3*12,0)</f>
        <v/>
      </c>
      <c r="T14" s="52" t="n"/>
      <c r="U14" s="51">
        <f>IF($U$6="T9",IF(COUNT(D14:O14)&gt;0,Q14,P14),IF($U$6="T6",IF(COUNT(D14:O14)&gt;0,R14,P14),IF($U$6="T3",IF(COUNT(D14:O14)&gt;0,S14,P14),P14)))+T14</f>
        <v/>
      </c>
      <c r="V14" s="53">
        <f>IFERROR($U14/'Summary &amp; Assumptions'!$C$11,0)</f>
        <v/>
      </c>
      <c r="W14" s="52" t="n"/>
      <c r="X14" s="9" t="n"/>
      <c r="Y14" s="51">
        <f>IF($W14="",$U14,IF($X14="Total $",$W14,IF($X14="/ unit",$W14*'Summary &amp; Assumptions'!$C$11,IF($X14="% of EGR",$W14*'P&amp;L'!$U$28,IF($X14="/ SF",$W14*'Summary &amp; Assumptions'!$C$16,IF($X14="% of historicals",$W14*$U14,IF($X14="$ / occ. unit",$W14*'Summary &amp; Assumptions'!$C$15,$W14)))))))</f>
        <v/>
      </c>
      <c r="Z14" s="51">
        <f>CHOOSE($AA$4,N(AB14),N(AD14),N(AF14),N(AH14),N(AJ14))</f>
        <v/>
      </c>
      <c r="AA14" s="1" t="n"/>
      <c r="AB14" s="54">
        <f>Y14+SUM(Y15:Y19)-SUM(U15:U19)</f>
        <v/>
      </c>
      <c r="AC14" s="53">
        <f>IFERROR(AB14/'Summary &amp; Assumptions'!$C$11,0)</f>
        <v/>
      </c>
      <c r="AD14" s="52" t="n">
        <v>0</v>
      </c>
      <c r="AE14" s="53">
        <f>IFERROR(AD14/'Summary &amp; Assumptions'!$C$11,0)</f>
        <v/>
      </c>
      <c r="AF14" s="52" t="n"/>
      <c r="AG14" s="53">
        <f>IFERROR(AF14/'Summary &amp; Assumptions'!$C$11,0)</f>
        <v/>
      </c>
      <c r="AH14" s="52" t="n"/>
      <c r="AI14" s="53">
        <f>IFERROR(AH14/'Summary &amp; Assumptions'!$C$11,0)</f>
        <v/>
      </c>
      <c r="AJ14" s="52" t="n"/>
      <c r="AK14" s="53">
        <f>IFERROR(AJ14/'Summary &amp; Assumptions'!$C$11,0)</f>
        <v/>
      </c>
      <c r="AL14" s="1" t="n"/>
      <c r="AM14" s="1" t="n"/>
      <c r="AN14" s="13" t="n"/>
      <c r="AO14" s="14" t="n"/>
      <c r="AP14" s="9" t="n"/>
    </row>
    <row r="15" hidden="1" outlineLevel="1">
      <c r="A15" s="1" t="n"/>
      <c r="B15" s="3" t="inlineStr">
        <is>
          <t>Reimbursements (RUBS) - General</t>
        </is>
      </c>
      <c r="C15" s="1" t="n"/>
      <c r="D15" s="51">
        <f>IFERROR(SUMPRODUCT((LEFT('OG T12'!$B$7:$B$226,LEN($B15))=$B15)*'OG T12'!$D$7:$P$226*(MONTH('OG T12'!$D$5:$P$5)=MONTH(D$6))*(YEAR('OG T12'!$D$5:$P$5)=YEAR(D$6))),0)</f>
        <v/>
      </c>
      <c r="E15" s="51">
        <f>IFERROR(SUMPRODUCT((LEFT('OG T12'!$B$7:$B$226,LEN($B15))=$B15)*'OG T12'!$D$7:$P$226*(MONTH('OG T12'!$D$5:$P$5)=MONTH(E$6))*(YEAR('OG T12'!$D$5:$P$5)=YEAR(E$6))),0)</f>
        <v/>
      </c>
      <c r="F15" s="51">
        <f>IFERROR(SUMPRODUCT((LEFT('OG T12'!$B$7:$B$226,LEN($B15))=$B15)*'OG T12'!$D$7:$P$226*(MONTH('OG T12'!$D$5:$P$5)=MONTH(F$6))*(YEAR('OG T12'!$D$5:$P$5)=YEAR(F$6))),0)</f>
        <v/>
      </c>
      <c r="G15" s="51">
        <f>IFERROR(SUMPRODUCT((LEFT('OG T12'!$B$7:$B$226,LEN($B15))=$B15)*'OG T12'!$D$7:$P$226*(MONTH('OG T12'!$D$5:$P$5)=MONTH(G$6))*(YEAR('OG T12'!$D$5:$P$5)=YEAR(G$6))),0)</f>
        <v/>
      </c>
      <c r="H15" s="51">
        <f>IFERROR(SUMPRODUCT((LEFT('OG T12'!$B$7:$B$226,LEN($B15))=$B15)*'OG T12'!$D$7:$P$226*(MONTH('OG T12'!$D$5:$P$5)=MONTH(H$6))*(YEAR('OG T12'!$D$5:$P$5)=YEAR(H$6))),0)</f>
        <v/>
      </c>
      <c r="I15" s="51">
        <f>IFERROR(SUMPRODUCT((LEFT('OG T12'!$B$7:$B$226,LEN($B15))=$B15)*'OG T12'!$D$7:$P$226*(MONTH('OG T12'!$D$5:$P$5)=MONTH(I$6))*(YEAR('OG T12'!$D$5:$P$5)=YEAR(I$6))),0)</f>
        <v/>
      </c>
      <c r="J15" s="51">
        <f>IFERROR(SUMPRODUCT((LEFT('OG T12'!$B$7:$B$226,LEN($B15))=$B15)*'OG T12'!$D$7:$P$226*(MONTH('OG T12'!$D$5:$P$5)=MONTH(J$6))*(YEAR('OG T12'!$D$5:$P$5)=YEAR(J$6))),0)</f>
        <v/>
      </c>
      <c r="K15" s="51">
        <f>IFERROR(SUMPRODUCT((LEFT('OG T12'!$B$7:$B$226,LEN($B15))=$B15)*'OG T12'!$D$7:$P$226*(MONTH('OG T12'!$D$5:$P$5)=MONTH(K$6))*(YEAR('OG T12'!$D$5:$P$5)=YEAR(K$6))),0)</f>
        <v/>
      </c>
      <c r="L15" s="51">
        <f>IFERROR(SUMPRODUCT((LEFT('OG T12'!$B$7:$B$226,LEN($B15))=$B15)*'OG T12'!$D$7:$P$226*(MONTH('OG T12'!$D$5:$P$5)=MONTH(L$6))*(YEAR('OG T12'!$D$5:$P$5)=YEAR(L$6))),0)</f>
        <v/>
      </c>
      <c r="M15" s="51">
        <f>IFERROR(SUMPRODUCT((LEFT('OG T12'!$B$7:$B$226,LEN($B15))=$B15)*'OG T12'!$D$7:$P$226*(MONTH('OG T12'!$D$5:$P$5)=MONTH(M$6))*(YEAR('OG T12'!$D$5:$P$5)=YEAR(M$6))),0)</f>
        <v/>
      </c>
      <c r="N15" s="51">
        <f>IFERROR(SUMPRODUCT((LEFT('OG T12'!$B$7:$B$226,LEN($B15))=$B15)*'OG T12'!$D$7:$P$226*(MONTH('OG T12'!$D$5:$P$5)=MONTH(N$6))*(YEAR('OG T12'!$D$5:$P$5)=YEAR(N$6))),0)</f>
        <v/>
      </c>
      <c r="O15" s="51">
        <f>IFERROR(SUMPRODUCT((LEFT('OG T12'!$B$7:$B$226,LEN($B15))=$B15)*'OG T12'!$D$7:$P$226*(MONTH('OG T12'!$D$5:$P$5)=MONTH(O$6))*(YEAR('OG T12'!$D$5:$P$5)=YEAR(O$6))),0)</f>
        <v/>
      </c>
      <c r="P15" s="51">
        <f>IF(SUMPRODUCT((LEFT('OG T12'!$B$7:$B$226,LEN($B15))=$B15)*ISNUMBER('OG T12'!$R$7:$R$226)*('OG T12'!$R$7:$R$226&lt;&gt;0))&gt;0,SUMPRODUCT(--(LEFT('OG T12'!$B$7:$B$226,LEN($B15))=$B15),'OG T12'!$R$7:$R$226),IF(COUNT(D15:O15)&gt;0,SUM(D15:O15),0))</f>
        <v/>
      </c>
      <c r="Q15" s="51">
        <f>IF(COUNT(G15:O15)&gt;0,SUM(G15:O15)/9*12,0)</f>
        <v/>
      </c>
      <c r="R15" s="51">
        <f>IF(COUNT(J15:O15)&gt;0,SUM(J15:O15)/6*12,0)</f>
        <v/>
      </c>
      <c r="S15" s="51">
        <f>IF(COUNT(M15:O15)&gt;0,SUM(M15:O15)/3*12,0)</f>
        <v/>
      </c>
      <c r="T15" s="52" t="n"/>
      <c r="U15" s="51">
        <f>IF($U$6="T9",IF(COUNT(D15:O15)&gt;0,Q15,P15),IF($U$6="T6",IF(COUNT(D15:O15)&gt;0,R15,P15),IF($U$6="T3",IF(COUNT(D15:O15)&gt;0,S15,P15),P15)))+T15</f>
        <v/>
      </c>
      <c r="V15" s="53">
        <f>IFERROR($U15/'Summary &amp; Assumptions'!$C$11,0)</f>
        <v/>
      </c>
      <c r="W15" s="52" t="n"/>
      <c r="X15" s="9" t="n"/>
      <c r="Y15" s="51">
        <f>IF($W15="",$U15,$W15)</f>
        <v/>
      </c>
      <c r="Z15" s="51">
        <f>CHOOSE($AA$4,N(AB15),N(AD15),N(AF15),N(AH15),N(AJ15))</f>
        <v/>
      </c>
      <c r="AA15" s="1" t="n"/>
      <c r="AB15" s="54">
        <f>Y15</f>
        <v/>
      </c>
      <c r="AC15" s="53">
        <f>IFERROR(AB15/'Summary &amp; Assumptions'!$C$11,0)</f>
        <v/>
      </c>
      <c r="AD15" s="52" t="n">
        <v>0</v>
      </c>
      <c r="AE15" s="53">
        <f>IFERROR(AD15/'Summary &amp; Assumptions'!$C$11,0)</f>
        <v/>
      </c>
      <c r="AF15" s="52" t="n"/>
      <c r="AG15" s="53">
        <f>IFERROR(AF15/'Summary &amp; Assumptions'!$C$11,0)</f>
        <v/>
      </c>
      <c r="AH15" s="52" t="n"/>
      <c r="AI15" s="53">
        <f>IFERROR(AH15/'Summary &amp; Assumptions'!$C$11,0)</f>
        <v/>
      </c>
      <c r="AJ15" s="52" t="n"/>
      <c r="AK15" s="53">
        <f>IFERROR(AJ15/'Summary &amp; Assumptions'!$C$11,0)</f>
        <v/>
      </c>
      <c r="AL15" s="1" t="n"/>
      <c r="AM15" s="1" t="n"/>
      <c r="AN15" s="13" t="n"/>
      <c r="AO15" s="14" t="n"/>
      <c r="AP15" s="9" t="n"/>
    </row>
    <row r="16" hidden="1" outlineLevel="1">
      <c r="A16" s="1" t="n"/>
      <c r="B16" s="3" t="inlineStr">
        <is>
          <t>Reimbursements (RUBS) - Electric</t>
        </is>
      </c>
      <c r="C16" s="1" t="n"/>
      <c r="D16" s="51">
        <f>IFERROR(SUMPRODUCT((LEFT('OG T12'!$B$7:$B$226,LEN($B16))=$B16)*'OG T12'!$D$7:$P$226*(MONTH('OG T12'!$D$5:$P$5)=MONTH(D$6))*(YEAR('OG T12'!$D$5:$P$5)=YEAR(D$6))),0)</f>
        <v/>
      </c>
      <c r="E16" s="51">
        <f>IFERROR(SUMPRODUCT((LEFT('OG T12'!$B$7:$B$226,LEN($B16))=$B16)*'OG T12'!$D$7:$P$226*(MONTH('OG T12'!$D$5:$P$5)=MONTH(E$6))*(YEAR('OG T12'!$D$5:$P$5)=YEAR(E$6))),0)</f>
        <v/>
      </c>
      <c r="F16" s="51">
        <f>IFERROR(SUMPRODUCT((LEFT('OG T12'!$B$7:$B$226,LEN($B16))=$B16)*'OG T12'!$D$7:$P$226*(MONTH('OG T12'!$D$5:$P$5)=MONTH(F$6))*(YEAR('OG T12'!$D$5:$P$5)=YEAR(F$6))),0)</f>
        <v/>
      </c>
      <c r="G16" s="51">
        <f>IFERROR(SUMPRODUCT((LEFT('OG T12'!$B$7:$B$226,LEN($B16))=$B16)*'OG T12'!$D$7:$P$226*(MONTH('OG T12'!$D$5:$P$5)=MONTH(G$6))*(YEAR('OG T12'!$D$5:$P$5)=YEAR(G$6))),0)</f>
        <v/>
      </c>
      <c r="H16" s="51">
        <f>IFERROR(SUMPRODUCT((LEFT('OG T12'!$B$7:$B$226,LEN($B16))=$B16)*'OG T12'!$D$7:$P$226*(MONTH('OG T12'!$D$5:$P$5)=MONTH(H$6))*(YEAR('OG T12'!$D$5:$P$5)=YEAR(H$6))),0)</f>
        <v/>
      </c>
      <c r="I16" s="51">
        <f>IFERROR(SUMPRODUCT((LEFT('OG T12'!$B$7:$B$226,LEN($B16))=$B16)*'OG T12'!$D$7:$P$226*(MONTH('OG T12'!$D$5:$P$5)=MONTH(I$6))*(YEAR('OG T12'!$D$5:$P$5)=YEAR(I$6))),0)</f>
        <v/>
      </c>
      <c r="J16" s="51">
        <f>IFERROR(SUMPRODUCT((LEFT('OG T12'!$B$7:$B$226,LEN($B16))=$B16)*'OG T12'!$D$7:$P$226*(MONTH('OG T12'!$D$5:$P$5)=MONTH(J$6))*(YEAR('OG T12'!$D$5:$P$5)=YEAR(J$6))),0)</f>
        <v/>
      </c>
      <c r="K16" s="51">
        <f>IFERROR(SUMPRODUCT((LEFT('OG T12'!$B$7:$B$226,LEN($B16))=$B16)*'OG T12'!$D$7:$P$226*(MONTH('OG T12'!$D$5:$P$5)=MONTH(K$6))*(YEAR('OG T12'!$D$5:$P$5)=YEAR(K$6))),0)</f>
        <v/>
      </c>
      <c r="L16" s="51">
        <f>IFERROR(SUMPRODUCT((LEFT('OG T12'!$B$7:$B$226,LEN($B16))=$B16)*'OG T12'!$D$7:$P$226*(MONTH('OG T12'!$D$5:$P$5)=MONTH(L$6))*(YEAR('OG T12'!$D$5:$P$5)=YEAR(L$6))),0)</f>
        <v/>
      </c>
      <c r="M16" s="51">
        <f>IFERROR(SUMPRODUCT((LEFT('OG T12'!$B$7:$B$226,LEN($B16))=$B16)*'OG T12'!$D$7:$P$226*(MONTH('OG T12'!$D$5:$P$5)=MONTH(M$6))*(YEAR('OG T12'!$D$5:$P$5)=YEAR(M$6))),0)</f>
        <v/>
      </c>
      <c r="N16" s="51">
        <f>IFERROR(SUMPRODUCT((LEFT('OG T12'!$B$7:$B$226,LEN($B16))=$B16)*'OG T12'!$D$7:$P$226*(MONTH('OG T12'!$D$5:$P$5)=MONTH(N$6))*(YEAR('OG T12'!$D$5:$P$5)=YEAR(N$6))),0)</f>
        <v/>
      </c>
      <c r="O16" s="51">
        <f>IFERROR(SUMPRODUCT((LEFT('OG T12'!$B$7:$B$226,LEN($B16))=$B16)*'OG T12'!$D$7:$P$226*(MONTH('OG T12'!$D$5:$P$5)=MONTH(O$6))*(YEAR('OG T12'!$D$5:$P$5)=YEAR(O$6))),0)</f>
        <v/>
      </c>
      <c r="P16" s="51">
        <f>IF(SUMPRODUCT((LEFT('OG T12'!$B$7:$B$226,LEN($B16))=$B16)*ISNUMBER('OG T12'!$R$7:$R$226)*('OG T12'!$R$7:$R$226&lt;&gt;0))&gt;0,SUMPRODUCT(--(LEFT('OG T12'!$B$7:$B$226,LEN($B16))=$B16),'OG T12'!$R$7:$R$226),IF(COUNT(D16:O16)&gt;0,SUM(D16:O16),0))</f>
        <v/>
      </c>
      <c r="Q16" s="51">
        <f>IF(COUNT(G16:O16)&gt;0,SUM(G16:O16)/9*12,0)</f>
        <v/>
      </c>
      <c r="R16" s="51">
        <f>IF(COUNT(J16:O16)&gt;0,SUM(J16:O16)/6*12,0)</f>
        <v/>
      </c>
      <c r="S16" s="51">
        <f>IF(COUNT(M16:O16)&gt;0,SUM(M16:O16)/3*12,0)</f>
        <v/>
      </c>
      <c r="T16" s="52" t="n"/>
      <c r="U16" s="51">
        <f>IF($U$6="T9",IF(COUNT(D16:O16)&gt;0,Q16,P16),IF($U$6="T6",IF(COUNT(D16:O16)&gt;0,R16,P16),IF($U$6="T3",IF(COUNT(D16:O16)&gt;0,S16,P16),P16)))+T16</f>
        <v/>
      </c>
      <c r="V16" s="53">
        <f>IFERROR($U16/'Summary &amp; Assumptions'!$C$11,0)</f>
        <v/>
      </c>
      <c r="W16" s="52" t="n"/>
      <c r="X16" s="9" t="n"/>
      <c r="Y16" s="51">
        <f>IF($W16="",$U16,$W16)</f>
        <v/>
      </c>
      <c r="Z16" s="51">
        <f>CHOOSE($AA$4,N(AB16),N(AD16),N(AF16),N(AH16),N(AJ16))</f>
        <v/>
      </c>
      <c r="AA16" s="1" t="n"/>
      <c r="AB16" s="54">
        <f>Y16</f>
        <v/>
      </c>
      <c r="AC16" s="53">
        <f>IFERROR(AB16/'Summary &amp; Assumptions'!$C$11,0)</f>
        <v/>
      </c>
      <c r="AD16" s="52" t="n">
        <v>0</v>
      </c>
      <c r="AE16" s="53">
        <f>IFERROR(AD16/'Summary &amp; Assumptions'!$C$11,0)</f>
        <v/>
      </c>
      <c r="AF16" s="52" t="n"/>
      <c r="AG16" s="53">
        <f>IFERROR(AF16/'Summary &amp; Assumptions'!$C$11,0)</f>
        <v/>
      </c>
      <c r="AH16" s="52" t="n"/>
      <c r="AI16" s="53">
        <f>IFERROR(AH16/'Summary &amp; Assumptions'!$C$11,0)</f>
        <v/>
      </c>
      <c r="AJ16" s="52" t="n"/>
      <c r="AK16" s="53">
        <f>IFERROR(AJ16/'Summary &amp; Assumptions'!$C$11,0)</f>
        <v/>
      </c>
      <c r="AL16" s="1" t="n"/>
      <c r="AM16" s="1" t="n"/>
      <c r="AN16" s="13" t="n"/>
      <c r="AO16" s="14" t="n"/>
      <c r="AP16" s="9" t="n"/>
    </row>
    <row r="17" hidden="1" outlineLevel="1">
      <c r="A17" s="1" t="n"/>
      <c r="B17" s="3" t="inlineStr">
        <is>
          <t>Reimbursements (RUBS) - Water/Sewer</t>
        </is>
      </c>
      <c r="C17" s="1" t="n"/>
      <c r="D17" s="51">
        <f>IFERROR(SUMPRODUCT((LEFT('OG T12'!$B$7:$B$226,LEN($B17))=$B17)*'OG T12'!$D$7:$P$226*(MONTH('OG T12'!$D$5:$P$5)=MONTH(D$6))*(YEAR('OG T12'!$D$5:$P$5)=YEAR(D$6))),0)</f>
        <v/>
      </c>
      <c r="E17" s="51">
        <f>IFERROR(SUMPRODUCT((LEFT('OG T12'!$B$7:$B$226,LEN($B17))=$B17)*'OG T12'!$D$7:$P$226*(MONTH('OG T12'!$D$5:$P$5)=MONTH(E$6))*(YEAR('OG T12'!$D$5:$P$5)=YEAR(E$6))),0)</f>
        <v/>
      </c>
      <c r="F17" s="51">
        <f>IFERROR(SUMPRODUCT((LEFT('OG T12'!$B$7:$B$226,LEN($B17))=$B17)*'OG T12'!$D$7:$P$226*(MONTH('OG T12'!$D$5:$P$5)=MONTH(F$6))*(YEAR('OG T12'!$D$5:$P$5)=YEAR(F$6))),0)</f>
        <v/>
      </c>
      <c r="G17" s="51">
        <f>IFERROR(SUMPRODUCT((LEFT('OG T12'!$B$7:$B$226,LEN($B17))=$B17)*'OG T12'!$D$7:$P$226*(MONTH('OG T12'!$D$5:$P$5)=MONTH(G$6))*(YEAR('OG T12'!$D$5:$P$5)=YEAR(G$6))),0)</f>
        <v/>
      </c>
      <c r="H17" s="51">
        <f>IFERROR(SUMPRODUCT((LEFT('OG T12'!$B$7:$B$226,LEN($B17))=$B17)*'OG T12'!$D$7:$P$226*(MONTH('OG T12'!$D$5:$P$5)=MONTH(H$6))*(YEAR('OG T12'!$D$5:$P$5)=YEAR(H$6))),0)</f>
        <v/>
      </c>
      <c r="I17" s="51">
        <f>IFERROR(SUMPRODUCT((LEFT('OG T12'!$B$7:$B$226,LEN($B17))=$B17)*'OG T12'!$D$7:$P$226*(MONTH('OG T12'!$D$5:$P$5)=MONTH(I$6))*(YEAR('OG T12'!$D$5:$P$5)=YEAR(I$6))),0)</f>
        <v/>
      </c>
      <c r="J17" s="51">
        <f>IFERROR(SUMPRODUCT((LEFT('OG T12'!$B$7:$B$226,LEN($B17))=$B17)*'OG T12'!$D$7:$P$226*(MONTH('OG T12'!$D$5:$P$5)=MONTH(J$6))*(YEAR('OG T12'!$D$5:$P$5)=YEAR(J$6))),0)</f>
        <v/>
      </c>
      <c r="K17" s="51">
        <f>IFERROR(SUMPRODUCT((LEFT('OG T12'!$B$7:$B$226,LEN($B17))=$B17)*'OG T12'!$D$7:$P$226*(MONTH('OG T12'!$D$5:$P$5)=MONTH(K$6))*(YEAR('OG T12'!$D$5:$P$5)=YEAR(K$6))),0)</f>
        <v/>
      </c>
      <c r="L17" s="51">
        <f>IFERROR(SUMPRODUCT((LEFT('OG T12'!$B$7:$B$226,LEN($B17))=$B17)*'OG T12'!$D$7:$P$226*(MONTH('OG T12'!$D$5:$P$5)=MONTH(L$6))*(YEAR('OG T12'!$D$5:$P$5)=YEAR(L$6))),0)</f>
        <v/>
      </c>
      <c r="M17" s="51">
        <f>IFERROR(SUMPRODUCT((LEFT('OG T12'!$B$7:$B$226,LEN($B17))=$B17)*'OG T12'!$D$7:$P$226*(MONTH('OG T12'!$D$5:$P$5)=MONTH(M$6))*(YEAR('OG T12'!$D$5:$P$5)=YEAR(M$6))),0)</f>
        <v/>
      </c>
      <c r="N17" s="51">
        <f>IFERROR(SUMPRODUCT((LEFT('OG T12'!$B$7:$B$226,LEN($B17))=$B17)*'OG T12'!$D$7:$P$226*(MONTH('OG T12'!$D$5:$P$5)=MONTH(N$6))*(YEAR('OG T12'!$D$5:$P$5)=YEAR(N$6))),0)</f>
        <v/>
      </c>
      <c r="O17" s="51">
        <f>IFERROR(SUMPRODUCT((LEFT('OG T12'!$B$7:$B$226,LEN($B17))=$B17)*'OG T12'!$D$7:$P$226*(MONTH('OG T12'!$D$5:$P$5)=MONTH(O$6))*(YEAR('OG T12'!$D$5:$P$5)=YEAR(O$6))),0)</f>
        <v/>
      </c>
      <c r="P17" s="51">
        <f>IF(SUMPRODUCT((LEFT('OG T12'!$B$7:$B$226,LEN($B17))=$B17)*ISNUMBER('OG T12'!$R$7:$R$226)*('OG T12'!$R$7:$R$226&lt;&gt;0))&gt;0,SUMPRODUCT(--(LEFT('OG T12'!$B$7:$B$226,LEN($B17))=$B17),'OG T12'!$R$7:$R$226),IF(COUNT(D17:O17)&gt;0,SUM(D17:O17),0))</f>
        <v/>
      </c>
      <c r="Q17" s="51">
        <f>IF(COUNT(G17:O17)&gt;0,SUM(G17:O17)/9*12,0)</f>
        <v/>
      </c>
      <c r="R17" s="51">
        <f>IF(COUNT(J17:O17)&gt;0,SUM(J17:O17)/6*12,0)</f>
        <v/>
      </c>
      <c r="S17" s="51">
        <f>IF(COUNT(M17:O17)&gt;0,SUM(M17:O17)/3*12,0)</f>
        <v/>
      </c>
      <c r="T17" s="52" t="n"/>
      <c r="U17" s="51">
        <f>IF($U$6="T9",IF(COUNT(D17:O17)&gt;0,Q17,P17),IF($U$6="T6",IF(COUNT(D17:O17)&gt;0,R17,P17),IF($U$6="T3",IF(COUNT(D17:O17)&gt;0,S17,P17),P17)))+T17</f>
        <v/>
      </c>
      <c r="V17" s="53">
        <f>IFERROR($U17/'Summary &amp; Assumptions'!$C$11,0)</f>
        <v/>
      </c>
      <c r="W17" s="52" t="n"/>
      <c r="X17" s="9" t="n"/>
      <c r="Y17" s="51">
        <f>IF($W17="",$U17,$W17)</f>
        <v/>
      </c>
      <c r="Z17" s="51">
        <f>CHOOSE($AA$4,N(AB17),N(AD17),N(AF17),N(AH17),N(AJ17))</f>
        <v/>
      </c>
      <c r="AA17" s="1" t="n"/>
      <c r="AB17" s="54">
        <f>Y17</f>
        <v/>
      </c>
      <c r="AC17" s="53">
        <f>IFERROR(AB17/'Summary &amp; Assumptions'!$C$11,0)</f>
        <v/>
      </c>
      <c r="AD17" s="52" t="n">
        <v>0</v>
      </c>
      <c r="AE17" s="53">
        <f>IFERROR(AD17/'Summary &amp; Assumptions'!$C$11,0)</f>
        <v/>
      </c>
      <c r="AF17" s="52" t="n"/>
      <c r="AG17" s="53">
        <f>IFERROR(AF17/'Summary &amp; Assumptions'!$C$11,0)</f>
        <v/>
      </c>
      <c r="AH17" s="52" t="n"/>
      <c r="AI17" s="53">
        <f>IFERROR(AH17/'Summary &amp; Assumptions'!$C$11,0)</f>
        <v/>
      </c>
      <c r="AJ17" s="52" t="n"/>
      <c r="AK17" s="53">
        <f>IFERROR(AJ17/'Summary &amp; Assumptions'!$C$11,0)</f>
        <v/>
      </c>
      <c r="AL17" s="1" t="n"/>
      <c r="AM17" s="1" t="n"/>
      <c r="AN17" s="13" t="n"/>
      <c r="AO17" s="14" t="n"/>
      <c r="AP17" s="9" t="n"/>
    </row>
    <row r="18" hidden="1" outlineLevel="1">
      <c r="A18" s="1" t="n"/>
      <c r="B18" s="3" t="inlineStr">
        <is>
          <t>Reimbursements (RUBS) - Gas</t>
        </is>
      </c>
      <c r="C18" s="1" t="n"/>
      <c r="D18" s="51">
        <f>IFERROR(SUMPRODUCT((LEFT('OG T12'!$B$7:$B$226,LEN($B18))=$B18)*'OG T12'!$D$7:$P$226*(MONTH('OG T12'!$D$5:$P$5)=MONTH(D$6))*(YEAR('OG T12'!$D$5:$P$5)=YEAR(D$6))),0)</f>
        <v/>
      </c>
      <c r="E18" s="51">
        <f>IFERROR(SUMPRODUCT((LEFT('OG T12'!$B$7:$B$226,LEN($B18))=$B18)*'OG T12'!$D$7:$P$226*(MONTH('OG T12'!$D$5:$P$5)=MONTH(E$6))*(YEAR('OG T12'!$D$5:$P$5)=YEAR(E$6))),0)</f>
        <v/>
      </c>
      <c r="F18" s="51">
        <f>IFERROR(SUMPRODUCT((LEFT('OG T12'!$B$7:$B$226,LEN($B18))=$B18)*'OG T12'!$D$7:$P$226*(MONTH('OG T12'!$D$5:$P$5)=MONTH(F$6))*(YEAR('OG T12'!$D$5:$P$5)=YEAR(F$6))),0)</f>
        <v/>
      </c>
      <c r="G18" s="51">
        <f>IFERROR(SUMPRODUCT((LEFT('OG T12'!$B$7:$B$226,LEN($B18))=$B18)*'OG T12'!$D$7:$P$226*(MONTH('OG T12'!$D$5:$P$5)=MONTH(G$6))*(YEAR('OG T12'!$D$5:$P$5)=YEAR(G$6))),0)</f>
        <v/>
      </c>
      <c r="H18" s="51">
        <f>IFERROR(SUMPRODUCT((LEFT('OG T12'!$B$7:$B$226,LEN($B18))=$B18)*'OG T12'!$D$7:$P$226*(MONTH('OG T12'!$D$5:$P$5)=MONTH(H$6))*(YEAR('OG T12'!$D$5:$P$5)=YEAR(H$6))),0)</f>
        <v/>
      </c>
      <c r="I18" s="51">
        <f>IFERROR(SUMPRODUCT((LEFT('OG T12'!$B$7:$B$226,LEN($B18))=$B18)*'OG T12'!$D$7:$P$226*(MONTH('OG T12'!$D$5:$P$5)=MONTH(I$6))*(YEAR('OG T12'!$D$5:$P$5)=YEAR(I$6))),0)</f>
        <v/>
      </c>
      <c r="J18" s="51">
        <f>IFERROR(SUMPRODUCT((LEFT('OG T12'!$B$7:$B$226,LEN($B18))=$B18)*'OG T12'!$D$7:$P$226*(MONTH('OG T12'!$D$5:$P$5)=MONTH(J$6))*(YEAR('OG T12'!$D$5:$P$5)=YEAR(J$6))),0)</f>
        <v/>
      </c>
      <c r="K18" s="51">
        <f>IFERROR(SUMPRODUCT((LEFT('OG T12'!$B$7:$B$226,LEN($B18))=$B18)*'OG T12'!$D$7:$P$226*(MONTH('OG T12'!$D$5:$P$5)=MONTH(K$6))*(YEAR('OG T12'!$D$5:$P$5)=YEAR(K$6))),0)</f>
        <v/>
      </c>
      <c r="L18" s="51">
        <f>IFERROR(SUMPRODUCT((LEFT('OG T12'!$B$7:$B$226,LEN($B18))=$B18)*'OG T12'!$D$7:$P$226*(MONTH('OG T12'!$D$5:$P$5)=MONTH(L$6))*(YEAR('OG T12'!$D$5:$P$5)=YEAR(L$6))),0)</f>
        <v/>
      </c>
      <c r="M18" s="51">
        <f>IFERROR(SUMPRODUCT((LEFT('OG T12'!$B$7:$B$226,LEN($B18))=$B18)*'OG T12'!$D$7:$P$226*(MONTH('OG T12'!$D$5:$P$5)=MONTH(M$6))*(YEAR('OG T12'!$D$5:$P$5)=YEAR(M$6))),0)</f>
        <v/>
      </c>
      <c r="N18" s="51">
        <f>IFERROR(SUMPRODUCT((LEFT('OG T12'!$B$7:$B$226,LEN($B18))=$B18)*'OG T12'!$D$7:$P$226*(MONTH('OG T12'!$D$5:$P$5)=MONTH(N$6))*(YEAR('OG T12'!$D$5:$P$5)=YEAR(N$6))),0)</f>
        <v/>
      </c>
      <c r="O18" s="51">
        <f>IFERROR(SUMPRODUCT((LEFT('OG T12'!$B$7:$B$226,LEN($B18))=$B18)*'OG T12'!$D$7:$P$226*(MONTH('OG T12'!$D$5:$P$5)=MONTH(O$6))*(YEAR('OG T12'!$D$5:$P$5)=YEAR(O$6))),0)</f>
        <v/>
      </c>
      <c r="P18" s="51">
        <f>IF(SUMPRODUCT((LEFT('OG T12'!$B$7:$B$226,LEN($B18))=$B18)*ISNUMBER('OG T12'!$R$7:$R$226)*('OG T12'!$R$7:$R$226&lt;&gt;0))&gt;0,SUMPRODUCT(--(LEFT('OG T12'!$B$7:$B$226,LEN($B18))=$B18),'OG T12'!$R$7:$R$226),IF(COUNT(D18:O18)&gt;0,SUM(D18:O18),0))</f>
        <v/>
      </c>
      <c r="Q18" s="51">
        <f>IF(COUNT(G18:O18)&gt;0,SUM(G18:O18)/9*12,0)</f>
        <v/>
      </c>
      <c r="R18" s="51">
        <f>IF(COUNT(J18:O18)&gt;0,SUM(J18:O18)/6*12,0)</f>
        <v/>
      </c>
      <c r="S18" s="51">
        <f>IF(COUNT(M18:O18)&gt;0,SUM(M18:O18)/3*12,0)</f>
        <v/>
      </c>
      <c r="T18" s="52" t="n"/>
      <c r="U18" s="51">
        <f>IF($U$6="T9",IF(COUNT(D18:O18)&gt;0,Q18,P18),IF($U$6="T6",IF(COUNT(D18:O18)&gt;0,R18,P18),IF($U$6="T3",IF(COUNT(D18:O18)&gt;0,S18,P18),P18)))+T18</f>
        <v/>
      </c>
      <c r="V18" s="53">
        <f>IFERROR($U18/'Summary &amp; Assumptions'!$C$11,0)</f>
        <v/>
      </c>
      <c r="W18" s="52" t="n"/>
      <c r="X18" s="9" t="n"/>
      <c r="Y18" s="51">
        <f>IF($W18="",$U18,$W18)</f>
        <v/>
      </c>
      <c r="Z18" s="51">
        <f>CHOOSE($AA$4,N(AB18),N(AD18),N(AF18),N(AH18),N(AJ18))</f>
        <v/>
      </c>
      <c r="AA18" s="1" t="n"/>
      <c r="AB18" s="54">
        <f>Y18</f>
        <v/>
      </c>
      <c r="AC18" s="53">
        <f>IFERROR(AB18/'Summary &amp; Assumptions'!$C$11,0)</f>
        <v/>
      </c>
      <c r="AD18" s="52" t="n">
        <v>0</v>
      </c>
      <c r="AE18" s="53">
        <f>IFERROR(AD18/'Summary &amp; Assumptions'!$C$11,0)</f>
        <v/>
      </c>
      <c r="AF18" s="52" t="n"/>
      <c r="AG18" s="53">
        <f>IFERROR(AF18/'Summary &amp; Assumptions'!$C$11,0)</f>
        <v/>
      </c>
      <c r="AH18" s="52" t="n"/>
      <c r="AI18" s="53">
        <f>IFERROR(AH18/'Summary &amp; Assumptions'!$C$11,0)</f>
        <v/>
      </c>
      <c r="AJ18" s="52" t="n"/>
      <c r="AK18" s="53">
        <f>IFERROR(AJ18/'Summary &amp; Assumptions'!$C$11,0)</f>
        <v/>
      </c>
      <c r="AL18" s="1" t="n"/>
      <c r="AM18" s="1" t="n"/>
      <c r="AN18" s="13" t="n"/>
      <c r="AO18" s="14" t="n"/>
      <c r="AP18" s="9" t="n"/>
    </row>
    <row r="19" hidden="1" outlineLevel="1">
      <c r="A19" s="1" t="n"/>
      <c r="B19" s="3" t="inlineStr">
        <is>
          <t>Reimbursements (RUBS) - Trash</t>
        </is>
      </c>
      <c r="C19" s="1" t="n"/>
      <c r="D19" s="51">
        <f>IFERROR(SUMPRODUCT((LEFT('OG T12'!$B$7:$B$226,LEN($B19))=$B19)*'OG T12'!$D$7:$P$226*(MONTH('OG T12'!$D$5:$P$5)=MONTH(D$6))*(YEAR('OG T12'!$D$5:$P$5)=YEAR(D$6))),0)</f>
        <v/>
      </c>
      <c r="E19" s="51">
        <f>IFERROR(SUMPRODUCT((LEFT('OG T12'!$B$7:$B$226,LEN($B19))=$B19)*'OG T12'!$D$7:$P$226*(MONTH('OG T12'!$D$5:$P$5)=MONTH(E$6))*(YEAR('OG T12'!$D$5:$P$5)=YEAR(E$6))),0)</f>
        <v/>
      </c>
      <c r="F19" s="51">
        <f>IFERROR(SUMPRODUCT((LEFT('OG T12'!$B$7:$B$226,LEN($B19))=$B19)*'OG T12'!$D$7:$P$226*(MONTH('OG T12'!$D$5:$P$5)=MONTH(F$6))*(YEAR('OG T12'!$D$5:$P$5)=YEAR(F$6))),0)</f>
        <v/>
      </c>
      <c r="G19" s="51">
        <f>IFERROR(SUMPRODUCT((LEFT('OG T12'!$B$7:$B$226,LEN($B19))=$B19)*'OG T12'!$D$7:$P$226*(MONTH('OG T12'!$D$5:$P$5)=MONTH(G$6))*(YEAR('OG T12'!$D$5:$P$5)=YEAR(G$6))),0)</f>
        <v/>
      </c>
      <c r="H19" s="51">
        <f>IFERROR(SUMPRODUCT((LEFT('OG T12'!$B$7:$B$226,LEN($B19))=$B19)*'OG T12'!$D$7:$P$226*(MONTH('OG T12'!$D$5:$P$5)=MONTH(H$6))*(YEAR('OG T12'!$D$5:$P$5)=YEAR(H$6))),0)</f>
        <v/>
      </c>
      <c r="I19" s="51">
        <f>IFERROR(SUMPRODUCT((LEFT('OG T12'!$B$7:$B$226,LEN($B19))=$B19)*'OG T12'!$D$7:$P$226*(MONTH('OG T12'!$D$5:$P$5)=MONTH(I$6))*(YEAR('OG T12'!$D$5:$P$5)=YEAR(I$6))),0)</f>
        <v/>
      </c>
      <c r="J19" s="51">
        <f>IFERROR(SUMPRODUCT((LEFT('OG T12'!$B$7:$B$226,LEN($B19))=$B19)*'OG T12'!$D$7:$P$226*(MONTH('OG T12'!$D$5:$P$5)=MONTH(J$6))*(YEAR('OG T12'!$D$5:$P$5)=YEAR(J$6))),0)</f>
        <v/>
      </c>
      <c r="K19" s="51">
        <f>IFERROR(SUMPRODUCT((LEFT('OG T12'!$B$7:$B$226,LEN($B19))=$B19)*'OG T12'!$D$7:$P$226*(MONTH('OG T12'!$D$5:$P$5)=MONTH(K$6))*(YEAR('OG T12'!$D$5:$P$5)=YEAR(K$6))),0)</f>
        <v/>
      </c>
      <c r="L19" s="51">
        <f>IFERROR(SUMPRODUCT((LEFT('OG T12'!$B$7:$B$226,LEN($B19))=$B19)*'OG T12'!$D$7:$P$226*(MONTH('OG T12'!$D$5:$P$5)=MONTH(L$6))*(YEAR('OG T12'!$D$5:$P$5)=YEAR(L$6))),0)</f>
        <v/>
      </c>
      <c r="M19" s="51">
        <f>IFERROR(SUMPRODUCT((LEFT('OG T12'!$B$7:$B$226,LEN($B19))=$B19)*'OG T12'!$D$7:$P$226*(MONTH('OG T12'!$D$5:$P$5)=MONTH(M$6))*(YEAR('OG T12'!$D$5:$P$5)=YEAR(M$6))),0)</f>
        <v/>
      </c>
      <c r="N19" s="51">
        <f>IFERROR(SUMPRODUCT((LEFT('OG T12'!$B$7:$B$226,LEN($B19))=$B19)*'OG T12'!$D$7:$P$226*(MONTH('OG T12'!$D$5:$P$5)=MONTH(N$6))*(YEAR('OG T12'!$D$5:$P$5)=YEAR(N$6))),0)</f>
        <v/>
      </c>
      <c r="O19" s="51">
        <f>IFERROR(SUMPRODUCT((LEFT('OG T12'!$B$7:$B$226,LEN($B19))=$B19)*'OG T12'!$D$7:$P$226*(MONTH('OG T12'!$D$5:$P$5)=MONTH(O$6))*(YEAR('OG T12'!$D$5:$P$5)=YEAR(O$6))),0)</f>
        <v/>
      </c>
      <c r="P19" s="51">
        <f>IF(SUMPRODUCT((LEFT('OG T12'!$B$7:$B$226,LEN($B19))=$B19)*ISNUMBER('OG T12'!$R$7:$R$226)*('OG T12'!$R$7:$R$226&lt;&gt;0))&gt;0,SUMPRODUCT(--(LEFT('OG T12'!$B$7:$B$226,LEN($B19))=$B19),'OG T12'!$R$7:$R$226),IF(COUNT(D19:O19)&gt;0,SUM(D19:O19),0))</f>
        <v/>
      </c>
      <c r="Q19" s="51">
        <f>IF(COUNT(G19:O19)&gt;0,SUM(G19:O19)/9*12,0)</f>
        <v/>
      </c>
      <c r="R19" s="51">
        <f>IF(COUNT(J19:O19)&gt;0,SUM(J19:O19)/6*12,0)</f>
        <v/>
      </c>
      <c r="S19" s="51">
        <f>IF(COUNT(M19:O19)&gt;0,SUM(M19:O19)/3*12,0)</f>
        <v/>
      </c>
      <c r="T19" s="52" t="n"/>
      <c r="U19" s="51">
        <f>IF($U$6="T9",IF(COUNT(D19:O19)&gt;0,Q19,P19),IF($U$6="T6",IF(COUNT(D19:O19)&gt;0,R19,P19),IF($U$6="T3",IF(COUNT(D19:O19)&gt;0,S19,P19),P19)))+T19</f>
        <v/>
      </c>
      <c r="V19" s="53">
        <f>IFERROR($U19/'Summary &amp; Assumptions'!$C$11,0)</f>
        <v/>
      </c>
      <c r="W19" s="52" t="n"/>
      <c r="X19" s="9" t="n"/>
      <c r="Y19" s="51">
        <f>IF($W19="",$U19,$W19)</f>
        <v/>
      </c>
      <c r="Z19" s="51">
        <f>CHOOSE($AA$4,N(AB19),N(AD19),N(AF19),N(AH19),N(AJ19))</f>
        <v/>
      </c>
      <c r="AA19" s="1" t="n"/>
      <c r="AB19" s="54">
        <f>Y19</f>
        <v/>
      </c>
      <c r="AC19" s="53">
        <f>IFERROR(AB19/'Summary &amp; Assumptions'!$C$11,0)</f>
        <v/>
      </c>
      <c r="AD19" s="52" t="n">
        <v>0</v>
      </c>
      <c r="AE19" s="53">
        <f>IFERROR(AD19/'Summary &amp; Assumptions'!$C$11,0)</f>
        <v/>
      </c>
      <c r="AF19" s="52" t="n"/>
      <c r="AG19" s="53">
        <f>IFERROR(AF19/'Summary &amp; Assumptions'!$C$11,0)</f>
        <v/>
      </c>
      <c r="AH19" s="52" t="n"/>
      <c r="AI19" s="53">
        <f>IFERROR(AH19/'Summary &amp; Assumptions'!$C$11,0)</f>
        <v/>
      </c>
      <c r="AJ19" s="52" t="n"/>
      <c r="AK19" s="53">
        <f>IFERROR(AJ19/'Summary &amp; Assumptions'!$C$11,0)</f>
        <v/>
      </c>
      <c r="AL19" s="1" t="n"/>
      <c r="AM19" s="1" t="n"/>
      <c r="AN19" s="13" t="n"/>
      <c r="AO19" s="14" t="n"/>
      <c r="AP19" s="9" t="n"/>
    </row>
    <row r="20">
      <c r="A20" s="1" t="n"/>
      <c r="B20" s="8" t="inlineStr">
        <is>
          <t>Commercial Rent</t>
        </is>
      </c>
      <c r="C20" s="1" t="n"/>
      <c r="D20" s="51">
        <f>IFERROR(SUMPRODUCT((LEFT('OG T12'!$B$7:$B$226,LEN($B20))=$B20)*'OG T12'!$D$7:$P$226*(MONTH('OG T12'!$D$5:$P$5)=MONTH(D$6))*(YEAR('OG T12'!$D$5:$P$5)=YEAR(D$6))),0)</f>
        <v/>
      </c>
      <c r="E20" s="51">
        <f>IFERROR(SUMPRODUCT((LEFT('OG T12'!$B$7:$B$226,LEN($B20))=$B20)*'OG T12'!$D$7:$P$226*(MONTH('OG T12'!$D$5:$P$5)=MONTH(E$6))*(YEAR('OG T12'!$D$5:$P$5)=YEAR(E$6))),0)</f>
        <v/>
      </c>
      <c r="F20" s="51">
        <f>IFERROR(SUMPRODUCT((LEFT('OG T12'!$B$7:$B$226,LEN($B20))=$B20)*'OG T12'!$D$7:$P$226*(MONTH('OG T12'!$D$5:$P$5)=MONTH(F$6))*(YEAR('OG T12'!$D$5:$P$5)=YEAR(F$6))),0)</f>
        <v/>
      </c>
      <c r="G20" s="51">
        <f>IFERROR(SUMPRODUCT((LEFT('OG T12'!$B$7:$B$226,LEN($B20))=$B20)*'OG T12'!$D$7:$P$226*(MONTH('OG T12'!$D$5:$P$5)=MONTH(G$6))*(YEAR('OG T12'!$D$5:$P$5)=YEAR(G$6))),0)</f>
        <v/>
      </c>
      <c r="H20" s="51">
        <f>IFERROR(SUMPRODUCT((LEFT('OG T12'!$B$7:$B$226,LEN($B20))=$B20)*'OG T12'!$D$7:$P$226*(MONTH('OG T12'!$D$5:$P$5)=MONTH(H$6))*(YEAR('OG T12'!$D$5:$P$5)=YEAR(H$6))),0)</f>
        <v/>
      </c>
      <c r="I20" s="51">
        <f>IFERROR(SUMPRODUCT((LEFT('OG T12'!$B$7:$B$226,LEN($B20))=$B20)*'OG T12'!$D$7:$P$226*(MONTH('OG T12'!$D$5:$P$5)=MONTH(I$6))*(YEAR('OG T12'!$D$5:$P$5)=YEAR(I$6))),0)</f>
        <v/>
      </c>
      <c r="J20" s="51">
        <f>IFERROR(SUMPRODUCT((LEFT('OG T12'!$B$7:$B$226,LEN($B20))=$B20)*'OG T12'!$D$7:$P$226*(MONTH('OG T12'!$D$5:$P$5)=MONTH(J$6))*(YEAR('OG T12'!$D$5:$P$5)=YEAR(J$6))),0)</f>
        <v/>
      </c>
      <c r="K20" s="51">
        <f>IFERROR(SUMPRODUCT((LEFT('OG T12'!$B$7:$B$226,LEN($B20))=$B20)*'OG T12'!$D$7:$P$226*(MONTH('OG T12'!$D$5:$P$5)=MONTH(K$6))*(YEAR('OG T12'!$D$5:$P$5)=YEAR(K$6))),0)</f>
        <v/>
      </c>
      <c r="L20" s="51">
        <f>IFERROR(SUMPRODUCT((LEFT('OG T12'!$B$7:$B$226,LEN($B20))=$B20)*'OG T12'!$D$7:$P$226*(MONTH('OG T12'!$D$5:$P$5)=MONTH(L$6))*(YEAR('OG T12'!$D$5:$P$5)=YEAR(L$6))),0)</f>
        <v/>
      </c>
      <c r="M20" s="51">
        <f>IFERROR(SUMPRODUCT((LEFT('OG T12'!$B$7:$B$226,LEN($B20))=$B20)*'OG T12'!$D$7:$P$226*(MONTH('OG T12'!$D$5:$P$5)=MONTH(M$6))*(YEAR('OG T12'!$D$5:$P$5)=YEAR(M$6))),0)</f>
        <v/>
      </c>
      <c r="N20" s="51">
        <f>IFERROR(SUMPRODUCT((LEFT('OG T12'!$B$7:$B$226,LEN($B20))=$B20)*'OG T12'!$D$7:$P$226*(MONTH('OG T12'!$D$5:$P$5)=MONTH(N$6))*(YEAR('OG T12'!$D$5:$P$5)=YEAR(N$6))),0)</f>
        <v/>
      </c>
      <c r="O20" s="51">
        <f>IFERROR(SUMPRODUCT((LEFT('OG T12'!$B$7:$B$226,LEN($B20))=$B20)*'OG T12'!$D$7:$P$226*(MONTH('OG T12'!$D$5:$P$5)=MONTH(O$6))*(YEAR('OG T12'!$D$5:$P$5)=YEAR(O$6))),0)</f>
        <v/>
      </c>
      <c r="P20" s="51">
        <f>IF(SUMPRODUCT((LEFT('OG T12'!$B$7:$B$226,LEN($B20))=$B20)*ISNUMBER('OG T12'!$R$7:$R$226)*('OG T12'!$R$7:$R$226&lt;&gt;0))&gt;0,SUMPRODUCT(--(LEFT('OG T12'!$B$7:$B$226,LEN($B20))=$B20),'OG T12'!$R$7:$R$226),IF(COUNT(D20:O20)&gt;0,SUM(D20:O20),0))</f>
        <v/>
      </c>
      <c r="Q20" s="51">
        <f>IF(COUNT(G20:O20)&gt;0,SUM(G20:O20)/9*12,0)</f>
        <v/>
      </c>
      <c r="R20" s="51">
        <f>IF(COUNT(J20:O20)&gt;0,SUM(J20:O20)/6*12,0)</f>
        <v/>
      </c>
      <c r="S20" s="51">
        <f>IF(COUNT(M20:O20)&gt;0,SUM(M20:O20)/3*12,0)</f>
        <v/>
      </c>
      <c r="T20" s="52" t="n"/>
      <c r="U20" s="51">
        <f>IF($U$6="T9",IF(COUNT(D20:O20)&gt;0,Q20,P20),IF($U$6="T6",IF(COUNT(D20:O20)&gt;0,R20,P20),IF($U$6="T3",IF(COUNT(D20:O20)&gt;0,S20,P20),P20)))+T20</f>
        <v/>
      </c>
      <c r="V20" s="53">
        <f>IFERROR($U20/'Summary &amp; Assumptions'!$C$11,0)</f>
        <v/>
      </c>
      <c r="W20" s="52" t="n"/>
      <c r="X20" s="9" t="n"/>
      <c r="Y20" s="51">
        <f>IF($W20="",$U20,IF($X20="Total $",$W20,IF($X20="/ unit",$W20*'Summary &amp; Assumptions'!$C$11,IF($X20="% of EGR",$W20*'P&amp;L'!$U$28,IF($X20="/ SF",$W20*'Summary &amp; Assumptions'!$C$16,IF($X20="% of historicals",$W20*$U20,IF($X20="$ / occ. unit",$W20*'Summary &amp; Assumptions'!$C$15,$W20)))))))</f>
        <v/>
      </c>
      <c r="Z20" s="51">
        <f>CHOOSE($AA$4,N(AB20),N(AD20),N(AF20),N(AH20),N(AJ20))</f>
        <v/>
      </c>
      <c r="AA20" s="1" t="n"/>
      <c r="AB20" s="54">
        <f>Y20</f>
        <v/>
      </c>
      <c r="AC20" s="53">
        <f>IFERROR(AB20/'Summary &amp; Assumptions'!$C$11,0)</f>
        <v/>
      </c>
      <c r="AD20" s="52" t="n">
        <v>0</v>
      </c>
      <c r="AE20" s="53">
        <f>IFERROR(AD20/'Summary &amp; Assumptions'!$C$11,0)</f>
        <v/>
      </c>
      <c r="AF20" s="52" t="n"/>
      <c r="AG20" s="53">
        <f>IFERROR(AF20/'Summary &amp; Assumptions'!$C$11,0)</f>
        <v/>
      </c>
      <c r="AH20" s="52" t="n"/>
      <c r="AI20" s="53">
        <f>IFERROR(AH20/'Summary &amp; Assumptions'!$C$11,0)</f>
        <v/>
      </c>
      <c r="AJ20" s="52" t="n"/>
      <c r="AK20" s="53">
        <f>IFERROR(AJ20/'Summary &amp; Assumptions'!$C$11,0)</f>
        <v/>
      </c>
      <c r="AL20" s="1" t="n"/>
      <c r="AM20" s="1" t="n"/>
      <c r="AN20" s="13" t="n"/>
      <c r="AO20" s="14" t="n"/>
      <c r="AP20" s="9" t="n"/>
    </row>
    <row r="21">
      <c r="A21" s="1" t="n"/>
      <c r="B21" s="8" t="inlineStr">
        <is>
          <t>Other Income</t>
        </is>
      </c>
      <c r="C21" s="1" t="n"/>
      <c r="D21" s="51">
        <f>IFERROR(SUMPRODUCT((LEFT('OG T12'!$B$7:$B$226,LEN($B21))=$B21)*'OG T12'!$D$7:$P$226*(MONTH('OG T12'!$D$5:$P$5)=MONTH(D$6))*(YEAR('OG T12'!$D$5:$P$5)=YEAR(D$6))),0)</f>
        <v/>
      </c>
      <c r="E21" s="51">
        <f>IFERROR(SUMPRODUCT((LEFT('OG T12'!$B$7:$B$226,LEN($B21))=$B21)*'OG T12'!$D$7:$P$226*(MONTH('OG T12'!$D$5:$P$5)=MONTH(E$6))*(YEAR('OG T12'!$D$5:$P$5)=YEAR(E$6))),0)</f>
        <v/>
      </c>
      <c r="F21" s="51">
        <f>IFERROR(SUMPRODUCT((LEFT('OG T12'!$B$7:$B$226,LEN($B21))=$B21)*'OG T12'!$D$7:$P$226*(MONTH('OG T12'!$D$5:$P$5)=MONTH(F$6))*(YEAR('OG T12'!$D$5:$P$5)=YEAR(F$6))),0)</f>
        <v/>
      </c>
      <c r="G21" s="51">
        <f>IFERROR(SUMPRODUCT((LEFT('OG T12'!$B$7:$B$226,LEN($B21))=$B21)*'OG T12'!$D$7:$P$226*(MONTH('OG T12'!$D$5:$P$5)=MONTH(G$6))*(YEAR('OG T12'!$D$5:$P$5)=YEAR(G$6))),0)</f>
        <v/>
      </c>
      <c r="H21" s="51">
        <f>IFERROR(SUMPRODUCT((LEFT('OG T12'!$B$7:$B$226,LEN($B21))=$B21)*'OG T12'!$D$7:$P$226*(MONTH('OG T12'!$D$5:$P$5)=MONTH(H$6))*(YEAR('OG T12'!$D$5:$P$5)=YEAR(H$6))),0)</f>
        <v/>
      </c>
      <c r="I21" s="51">
        <f>IFERROR(SUMPRODUCT((LEFT('OG T12'!$B$7:$B$226,LEN($B21))=$B21)*'OG T12'!$D$7:$P$226*(MONTH('OG T12'!$D$5:$P$5)=MONTH(I$6))*(YEAR('OG T12'!$D$5:$P$5)=YEAR(I$6))),0)</f>
        <v/>
      </c>
      <c r="J21" s="51">
        <f>IFERROR(SUMPRODUCT((LEFT('OG T12'!$B$7:$B$226,LEN($B21))=$B21)*'OG T12'!$D$7:$P$226*(MONTH('OG T12'!$D$5:$P$5)=MONTH(J$6))*(YEAR('OG T12'!$D$5:$P$5)=YEAR(J$6))),0)</f>
        <v/>
      </c>
      <c r="K21" s="51">
        <f>IFERROR(SUMPRODUCT((LEFT('OG T12'!$B$7:$B$226,LEN($B21))=$B21)*'OG T12'!$D$7:$P$226*(MONTH('OG T12'!$D$5:$P$5)=MONTH(K$6))*(YEAR('OG T12'!$D$5:$P$5)=YEAR(K$6))),0)</f>
        <v/>
      </c>
      <c r="L21" s="51">
        <f>IFERROR(SUMPRODUCT((LEFT('OG T12'!$B$7:$B$226,LEN($B21))=$B21)*'OG T12'!$D$7:$P$226*(MONTH('OG T12'!$D$5:$P$5)=MONTH(L$6))*(YEAR('OG T12'!$D$5:$P$5)=YEAR(L$6))),0)</f>
        <v/>
      </c>
      <c r="M21" s="51">
        <f>IFERROR(SUMPRODUCT((LEFT('OG T12'!$B$7:$B$226,LEN($B21))=$B21)*'OG T12'!$D$7:$P$226*(MONTH('OG T12'!$D$5:$P$5)=MONTH(M$6))*(YEAR('OG T12'!$D$5:$P$5)=YEAR(M$6))),0)</f>
        <v/>
      </c>
      <c r="N21" s="51">
        <f>IFERROR(SUMPRODUCT((LEFT('OG T12'!$B$7:$B$226,LEN($B21))=$B21)*'OG T12'!$D$7:$P$226*(MONTH('OG T12'!$D$5:$P$5)=MONTH(N$6))*(YEAR('OG T12'!$D$5:$P$5)=YEAR(N$6))),0)</f>
        <v/>
      </c>
      <c r="O21" s="51">
        <f>IFERROR(SUMPRODUCT((LEFT('OG T12'!$B$7:$B$226,LEN($B21))=$B21)*'OG T12'!$D$7:$P$226*(MONTH('OG T12'!$D$5:$P$5)=MONTH(O$6))*(YEAR('OG T12'!$D$5:$P$5)=YEAR(O$6))),0)</f>
        <v/>
      </c>
      <c r="P21" s="51">
        <f>IF(SUMPRODUCT((LEFT('OG T12'!$B$7:$B$226,LEN($B21))=$B21)*ISNUMBER('OG T12'!$R$7:$R$226)*('OG T12'!$R$7:$R$226&lt;&gt;0))&gt;0,SUMPRODUCT(--(LEFT('OG T12'!$B$7:$B$226,LEN($B21))=$B21),'OG T12'!$R$7:$R$226),IF(COUNT(D21:O21)&gt;0,SUM(D21:O21),0))</f>
        <v/>
      </c>
      <c r="Q21" s="51">
        <f>IF(COUNT(G21:O21)&gt;0,SUM(G21:O21)/9*12,0)</f>
        <v/>
      </c>
      <c r="R21" s="51">
        <f>IF(COUNT(J21:O21)&gt;0,SUM(J21:O21)/6*12,0)</f>
        <v/>
      </c>
      <c r="S21" s="51">
        <f>IF(COUNT(M21:O21)&gt;0,SUM(M21:O21)/3*12,0)</f>
        <v/>
      </c>
      <c r="T21" s="52" t="n"/>
      <c r="U21" s="51">
        <f>IF($U$6="T9",IF(COUNT(D21:O21)&gt;0,Q21,P21),IF($U$6="T6",IF(COUNT(D21:O21)&gt;0,R21,P21),IF($U$6="T3",IF(COUNT(D21:O21)&gt;0,S21,P21),P21)))+T21</f>
        <v/>
      </c>
      <c r="V21" s="53">
        <f>IFERROR($U21/'Summary &amp; Assumptions'!$C$11,0)</f>
        <v/>
      </c>
      <c r="W21" s="52" t="n"/>
      <c r="X21" s="9" t="n"/>
      <c r="Y21" s="51">
        <f>IF($W21="",$U21,IF($X21="Total $",$W21,IF($X21="/ unit",$W21*'Summary &amp; Assumptions'!$C$11,IF($X21="% of EGR",$W21*'P&amp;L'!$U$28,IF($X21="/ SF",$W21*'Summary &amp; Assumptions'!$C$16,IF($X21="% of historicals",$W21*$U21,IF($X21="$ / occ. unit",$W21*'Summary &amp; Assumptions'!$C$15,$W21)))))))</f>
        <v/>
      </c>
      <c r="Z21" s="51">
        <f>CHOOSE($AA$4,N(AB21),N(AD21),N(AF21),N(AH21),N(AJ21))</f>
        <v/>
      </c>
      <c r="AA21" s="1" t="n"/>
      <c r="AB21" s="54">
        <f>Y21+SUM(Y22:Y27)-SUM(U22:U27)</f>
        <v/>
      </c>
      <c r="AC21" s="53">
        <f>IFERROR(AB21/'Summary &amp; Assumptions'!$C$11,0)</f>
        <v/>
      </c>
      <c r="AD21" s="52" t="n">
        <v>0</v>
      </c>
      <c r="AE21" s="53">
        <f>IFERROR(AD21/'Summary &amp; Assumptions'!$C$11,0)</f>
        <v/>
      </c>
      <c r="AF21" s="52" t="n"/>
      <c r="AG21" s="53">
        <f>IFERROR(AF21/'Summary &amp; Assumptions'!$C$11,0)</f>
        <v/>
      </c>
      <c r="AH21" s="52" t="n"/>
      <c r="AI21" s="53">
        <f>IFERROR(AH21/'Summary &amp; Assumptions'!$C$11,0)</f>
        <v/>
      </c>
      <c r="AJ21" s="52" t="n"/>
      <c r="AK21" s="53">
        <f>IFERROR(AJ21/'Summary &amp; Assumptions'!$C$11,0)</f>
        <v/>
      </c>
      <c r="AL21" s="1" t="n"/>
      <c r="AM21" s="1" t="n"/>
      <c r="AN21" s="13" t="n"/>
      <c r="AO21" s="14" t="n"/>
      <c r="AP21" s="9" t="n"/>
    </row>
    <row r="22" hidden="1" outlineLevel="1">
      <c r="A22" s="1" t="n"/>
      <c r="B22" s="3" t="inlineStr">
        <is>
          <t>Other Income - General</t>
        </is>
      </c>
      <c r="C22" s="1" t="n"/>
      <c r="D22" s="51">
        <f>IFERROR(SUMPRODUCT((LEFT('OG T12'!$B$7:$B$226,LEN($B22))=$B22)*'OG T12'!$D$7:$P$226*(MONTH('OG T12'!$D$5:$P$5)=MONTH(D$6))*(YEAR('OG T12'!$D$5:$P$5)=YEAR(D$6))),0)</f>
        <v/>
      </c>
      <c r="E22" s="51">
        <f>IFERROR(SUMPRODUCT((LEFT('OG T12'!$B$7:$B$226,LEN($B22))=$B22)*'OG T12'!$D$7:$P$226*(MONTH('OG T12'!$D$5:$P$5)=MONTH(E$6))*(YEAR('OG T12'!$D$5:$P$5)=YEAR(E$6))),0)</f>
        <v/>
      </c>
      <c r="F22" s="51">
        <f>IFERROR(SUMPRODUCT((LEFT('OG T12'!$B$7:$B$226,LEN($B22))=$B22)*'OG T12'!$D$7:$P$226*(MONTH('OG T12'!$D$5:$P$5)=MONTH(F$6))*(YEAR('OG T12'!$D$5:$P$5)=YEAR(F$6))),0)</f>
        <v/>
      </c>
      <c r="G22" s="51">
        <f>IFERROR(SUMPRODUCT((LEFT('OG T12'!$B$7:$B$226,LEN($B22))=$B22)*'OG T12'!$D$7:$P$226*(MONTH('OG T12'!$D$5:$P$5)=MONTH(G$6))*(YEAR('OG T12'!$D$5:$P$5)=YEAR(G$6))),0)</f>
        <v/>
      </c>
      <c r="H22" s="51">
        <f>IFERROR(SUMPRODUCT((LEFT('OG T12'!$B$7:$B$226,LEN($B22))=$B22)*'OG T12'!$D$7:$P$226*(MONTH('OG T12'!$D$5:$P$5)=MONTH(H$6))*(YEAR('OG T12'!$D$5:$P$5)=YEAR(H$6))),0)</f>
        <v/>
      </c>
      <c r="I22" s="51">
        <f>IFERROR(SUMPRODUCT((LEFT('OG T12'!$B$7:$B$226,LEN($B22))=$B22)*'OG T12'!$D$7:$P$226*(MONTH('OG T12'!$D$5:$P$5)=MONTH(I$6))*(YEAR('OG T12'!$D$5:$P$5)=YEAR(I$6))),0)</f>
        <v/>
      </c>
      <c r="J22" s="51">
        <f>IFERROR(SUMPRODUCT((LEFT('OG T12'!$B$7:$B$226,LEN($B22))=$B22)*'OG T12'!$D$7:$P$226*(MONTH('OG T12'!$D$5:$P$5)=MONTH(J$6))*(YEAR('OG T12'!$D$5:$P$5)=YEAR(J$6))),0)</f>
        <v/>
      </c>
      <c r="K22" s="51">
        <f>IFERROR(SUMPRODUCT((LEFT('OG T12'!$B$7:$B$226,LEN($B22))=$B22)*'OG T12'!$D$7:$P$226*(MONTH('OG T12'!$D$5:$P$5)=MONTH(K$6))*(YEAR('OG T12'!$D$5:$P$5)=YEAR(K$6))),0)</f>
        <v/>
      </c>
      <c r="L22" s="51">
        <f>IFERROR(SUMPRODUCT((LEFT('OG T12'!$B$7:$B$226,LEN($B22))=$B22)*'OG T12'!$D$7:$P$226*(MONTH('OG T12'!$D$5:$P$5)=MONTH(L$6))*(YEAR('OG T12'!$D$5:$P$5)=YEAR(L$6))),0)</f>
        <v/>
      </c>
      <c r="M22" s="51">
        <f>IFERROR(SUMPRODUCT((LEFT('OG T12'!$B$7:$B$226,LEN($B22))=$B22)*'OG T12'!$D$7:$P$226*(MONTH('OG T12'!$D$5:$P$5)=MONTH(M$6))*(YEAR('OG T12'!$D$5:$P$5)=YEAR(M$6))),0)</f>
        <v/>
      </c>
      <c r="N22" s="51">
        <f>IFERROR(SUMPRODUCT((LEFT('OG T12'!$B$7:$B$226,LEN($B22))=$B22)*'OG T12'!$D$7:$P$226*(MONTH('OG T12'!$D$5:$P$5)=MONTH(N$6))*(YEAR('OG T12'!$D$5:$P$5)=YEAR(N$6))),0)</f>
        <v/>
      </c>
      <c r="O22" s="51">
        <f>IFERROR(SUMPRODUCT((LEFT('OG T12'!$B$7:$B$226,LEN($B22))=$B22)*'OG T12'!$D$7:$P$226*(MONTH('OG T12'!$D$5:$P$5)=MONTH(O$6))*(YEAR('OG T12'!$D$5:$P$5)=YEAR(O$6))),0)</f>
        <v/>
      </c>
      <c r="P22" s="51">
        <f>IF(SUMPRODUCT((LEFT('OG T12'!$B$7:$B$226,LEN($B22))=$B22)*ISNUMBER('OG T12'!$R$7:$R$226)*('OG T12'!$R$7:$R$226&lt;&gt;0))&gt;0,SUMPRODUCT(--(LEFT('OG T12'!$B$7:$B$226,LEN($B22))=$B22),'OG T12'!$R$7:$R$226),IF(COUNT(D22:O22)&gt;0,SUM(D22:O22),0))</f>
        <v/>
      </c>
      <c r="Q22" s="51">
        <f>IF(COUNT(G22:O22)&gt;0,SUM(G22:O22)/9*12,0)</f>
        <v/>
      </c>
      <c r="R22" s="51">
        <f>IF(COUNT(J22:O22)&gt;0,SUM(J22:O22)/6*12,0)</f>
        <v/>
      </c>
      <c r="S22" s="51">
        <f>IF(COUNT(M22:O22)&gt;0,SUM(M22:O22)/3*12,0)</f>
        <v/>
      </c>
      <c r="T22" s="52" t="n"/>
      <c r="U22" s="51">
        <f>IF($U$6="T9",IF(COUNT(D22:O22)&gt;0,Q22,P22),IF($U$6="T6",IF(COUNT(D22:O22)&gt;0,R22,P22),IF($U$6="T3",IF(COUNT(D22:O22)&gt;0,S22,P22),P22)))+T22</f>
        <v/>
      </c>
      <c r="V22" s="53">
        <f>IFERROR($U22/'Summary &amp; Assumptions'!$C$11,0)</f>
        <v/>
      </c>
      <c r="W22" s="52" t="n"/>
      <c r="X22" s="9" t="n"/>
      <c r="Y22" s="51">
        <f>IF($W22="",$U22,$W22)</f>
        <v/>
      </c>
      <c r="Z22" s="51">
        <f>CHOOSE($AA$4,N(AB22),N(AD22),N(AF22),N(AH22),N(AJ22))</f>
        <v/>
      </c>
      <c r="AA22" s="1" t="n"/>
      <c r="AB22" s="54">
        <f>Y22</f>
        <v/>
      </c>
      <c r="AC22" s="53">
        <f>IFERROR(AB22/'Summary &amp; Assumptions'!$C$11,0)</f>
        <v/>
      </c>
      <c r="AD22" s="52" t="n">
        <v>0</v>
      </c>
      <c r="AE22" s="53">
        <f>IFERROR(AD22/'Summary &amp; Assumptions'!$C$11,0)</f>
        <v/>
      </c>
      <c r="AF22" s="52" t="n"/>
      <c r="AG22" s="53">
        <f>IFERROR(AF22/'Summary &amp; Assumptions'!$C$11,0)</f>
        <v/>
      </c>
      <c r="AH22" s="52" t="n"/>
      <c r="AI22" s="53">
        <f>IFERROR(AH22/'Summary &amp; Assumptions'!$C$11,0)</f>
        <v/>
      </c>
      <c r="AJ22" s="52" t="n"/>
      <c r="AK22" s="53">
        <f>IFERROR(AJ22/'Summary &amp; Assumptions'!$C$11,0)</f>
        <v/>
      </c>
      <c r="AL22" s="1" t="n"/>
      <c r="AM22" s="1" t="n"/>
      <c r="AN22" s="13" t="n"/>
      <c r="AO22" s="14" t="n"/>
      <c r="AP22" s="9" t="n"/>
    </row>
    <row r="23" hidden="1" outlineLevel="1">
      <c r="A23" s="1" t="n"/>
      <c r="B23" s="3" t="inlineStr">
        <is>
          <t>Other Income - Parking Income</t>
        </is>
      </c>
      <c r="C23" s="1" t="n"/>
      <c r="D23" s="51">
        <f>IFERROR(SUMPRODUCT((LEFT('OG T12'!$B$7:$B$226,LEN($B23))=$B23)*'OG T12'!$D$7:$P$226*(MONTH('OG T12'!$D$5:$P$5)=MONTH(D$6))*(YEAR('OG T12'!$D$5:$P$5)=YEAR(D$6))),0)</f>
        <v/>
      </c>
      <c r="E23" s="51">
        <f>IFERROR(SUMPRODUCT((LEFT('OG T12'!$B$7:$B$226,LEN($B23))=$B23)*'OG T12'!$D$7:$P$226*(MONTH('OG T12'!$D$5:$P$5)=MONTH(E$6))*(YEAR('OG T12'!$D$5:$P$5)=YEAR(E$6))),0)</f>
        <v/>
      </c>
      <c r="F23" s="51">
        <f>IFERROR(SUMPRODUCT((LEFT('OG T12'!$B$7:$B$226,LEN($B23))=$B23)*'OG T12'!$D$7:$P$226*(MONTH('OG T12'!$D$5:$P$5)=MONTH(F$6))*(YEAR('OG T12'!$D$5:$P$5)=YEAR(F$6))),0)</f>
        <v/>
      </c>
      <c r="G23" s="51">
        <f>IFERROR(SUMPRODUCT((LEFT('OG T12'!$B$7:$B$226,LEN($B23))=$B23)*'OG T12'!$D$7:$P$226*(MONTH('OG T12'!$D$5:$P$5)=MONTH(G$6))*(YEAR('OG T12'!$D$5:$P$5)=YEAR(G$6))),0)</f>
        <v/>
      </c>
      <c r="H23" s="51">
        <f>IFERROR(SUMPRODUCT((LEFT('OG T12'!$B$7:$B$226,LEN($B23))=$B23)*'OG T12'!$D$7:$P$226*(MONTH('OG T12'!$D$5:$P$5)=MONTH(H$6))*(YEAR('OG T12'!$D$5:$P$5)=YEAR(H$6))),0)</f>
        <v/>
      </c>
      <c r="I23" s="51">
        <f>IFERROR(SUMPRODUCT((LEFT('OG T12'!$B$7:$B$226,LEN($B23))=$B23)*'OG T12'!$D$7:$P$226*(MONTH('OG T12'!$D$5:$P$5)=MONTH(I$6))*(YEAR('OG T12'!$D$5:$P$5)=YEAR(I$6))),0)</f>
        <v/>
      </c>
      <c r="J23" s="51">
        <f>IFERROR(SUMPRODUCT((LEFT('OG T12'!$B$7:$B$226,LEN($B23))=$B23)*'OG T12'!$D$7:$P$226*(MONTH('OG T12'!$D$5:$P$5)=MONTH(J$6))*(YEAR('OG T12'!$D$5:$P$5)=YEAR(J$6))),0)</f>
        <v/>
      </c>
      <c r="K23" s="51">
        <f>IFERROR(SUMPRODUCT((LEFT('OG T12'!$B$7:$B$226,LEN($B23))=$B23)*'OG T12'!$D$7:$P$226*(MONTH('OG T12'!$D$5:$P$5)=MONTH(K$6))*(YEAR('OG T12'!$D$5:$P$5)=YEAR(K$6))),0)</f>
        <v/>
      </c>
      <c r="L23" s="51">
        <f>IFERROR(SUMPRODUCT((LEFT('OG T12'!$B$7:$B$226,LEN($B23))=$B23)*'OG T12'!$D$7:$P$226*(MONTH('OG T12'!$D$5:$P$5)=MONTH(L$6))*(YEAR('OG T12'!$D$5:$P$5)=YEAR(L$6))),0)</f>
        <v/>
      </c>
      <c r="M23" s="51">
        <f>IFERROR(SUMPRODUCT((LEFT('OG T12'!$B$7:$B$226,LEN($B23))=$B23)*'OG T12'!$D$7:$P$226*(MONTH('OG T12'!$D$5:$P$5)=MONTH(M$6))*(YEAR('OG T12'!$D$5:$P$5)=YEAR(M$6))),0)</f>
        <v/>
      </c>
      <c r="N23" s="51">
        <f>IFERROR(SUMPRODUCT((LEFT('OG T12'!$B$7:$B$226,LEN($B23))=$B23)*'OG T12'!$D$7:$P$226*(MONTH('OG T12'!$D$5:$P$5)=MONTH(N$6))*(YEAR('OG T12'!$D$5:$P$5)=YEAR(N$6))),0)</f>
        <v/>
      </c>
      <c r="O23" s="51">
        <f>IFERROR(SUMPRODUCT((LEFT('OG T12'!$B$7:$B$226,LEN($B23))=$B23)*'OG T12'!$D$7:$P$226*(MONTH('OG T12'!$D$5:$P$5)=MONTH(O$6))*(YEAR('OG T12'!$D$5:$P$5)=YEAR(O$6))),0)</f>
        <v/>
      </c>
      <c r="P23" s="51">
        <f>IF(SUMPRODUCT((LEFT('OG T12'!$B$7:$B$226,LEN($B23))=$B23)*ISNUMBER('OG T12'!$R$7:$R$226)*('OG T12'!$R$7:$R$226&lt;&gt;0))&gt;0,SUMPRODUCT(--(LEFT('OG T12'!$B$7:$B$226,LEN($B23))=$B23),'OG T12'!$R$7:$R$226),IF(COUNT(D23:O23)&gt;0,SUM(D23:O23),0))</f>
        <v/>
      </c>
      <c r="Q23" s="51">
        <f>IF(COUNT(G23:O23)&gt;0,SUM(G23:O23)/9*12,0)</f>
        <v/>
      </c>
      <c r="R23" s="51">
        <f>IF(COUNT(J23:O23)&gt;0,SUM(J23:O23)/6*12,0)</f>
        <v/>
      </c>
      <c r="S23" s="51">
        <f>IF(COUNT(M23:O23)&gt;0,SUM(M23:O23)/3*12,0)</f>
        <v/>
      </c>
      <c r="T23" s="52" t="n"/>
      <c r="U23" s="51">
        <f>IF($U$6="T9",IF(COUNT(D23:O23)&gt;0,Q23,P23),IF($U$6="T6",IF(COUNT(D23:O23)&gt;0,R23,P23),IF($U$6="T3",IF(COUNT(D23:O23)&gt;0,S23,P23),P23)))+T23</f>
        <v/>
      </c>
      <c r="V23" s="53">
        <f>IFERROR($U23/'Summary &amp; Assumptions'!$C$11,0)</f>
        <v/>
      </c>
      <c r="W23" s="52" t="n"/>
      <c r="X23" s="9" t="n"/>
      <c r="Y23" s="51">
        <f>IF($W23="",$U23,$W23)</f>
        <v/>
      </c>
      <c r="Z23" s="51">
        <f>CHOOSE($AA$4,N(AB23),N(AD23),N(AF23),N(AH23),N(AJ23))</f>
        <v/>
      </c>
      <c r="AA23" s="1" t="n"/>
      <c r="AB23" s="54">
        <f>Y23</f>
        <v/>
      </c>
      <c r="AC23" s="53">
        <f>IFERROR(AB23/'Summary &amp; Assumptions'!$C$11,0)</f>
        <v/>
      </c>
      <c r="AD23" s="52" t="n">
        <v>0</v>
      </c>
      <c r="AE23" s="53">
        <f>IFERROR(AD23/'Summary &amp; Assumptions'!$C$11,0)</f>
        <v/>
      </c>
      <c r="AF23" s="52" t="n"/>
      <c r="AG23" s="53">
        <f>IFERROR(AF23/'Summary &amp; Assumptions'!$C$11,0)</f>
        <v/>
      </c>
      <c r="AH23" s="52" t="n"/>
      <c r="AI23" s="53">
        <f>IFERROR(AH23/'Summary &amp; Assumptions'!$C$11,0)</f>
        <v/>
      </c>
      <c r="AJ23" s="52" t="n"/>
      <c r="AK23" s="53">
        <f>IFERROR(AJ23/'Summary &amp; Assumptions'!$C$11,0)</f>
        <v/>
      </c>
      <c r="AL23" s="1" t="n"/>
      <c r="AM23" s="1" t="n"/>
      <c r="AN23" s="13" t="n"/>
      <c r="AO23" s="14" t="n"/>
      <c r="AP23" s="9" t="n"/>
    </row>
    <row r="24" hidden="1" outlineLevel="1">
      <c r="A24" s="1" t="n"/>
      <c r="B24" s="3" t="inlineStr">
        <is>
          <t>Other Income - Pet Rent/Fees</t>
        </is>
      </c>
      <c r="C24" s="1" t="n"/>
      <c r="D24" s="51">
        <f>IFERROR(SUMPRODUCT((LEFT('OG T12'!$B$7:$B$226,LEN($B24))=$B24)*'OG T12'!$D$7:$P$226*(MONTH('OG T12'!$D$5:$P$5)=MONTH(D$6))*(YEAR('OG T12'!$D$5:$P$5)=YEAR(D$6))),0)</f>
        <v/>
      </c>
      <c r="E24" s="51">
        <f>IFERROR(SUMPRODUCT((LEFT('OG T12'!$B$7:$B$226,LEN($B24))=$B24)*'OG T12'!$D$7:$P$226*(MONTH('OG T12'!$D$5:$P$5)=MONTH(E$6))*(YEAR('OG T12'!$D$5:$P$5)=YEAR(E$6))),0)</f>
        <v/>
      </c>
      <c r="F24" s="51">
        <f>IFERROR(SUMPRODUCT((LEFT('OG T12'!$B$7:$B$226,LEN($B24))=$B24)*'OG T12'!$D$7:$P$226*(MONTH('OG T12'!$D$5:$P$5)=MONTH(F$6))*(YEAR('OG T12'!$D$5:$P$5)=YEAR(F$6))),0)</f>
        <v/>
      </c>
      <c r="G24" s="51">
        <f>IFERROR(SUMPRODUCT((LEFT('OG T12'!$B$7:$B$226,LEN($B24))=$B24)*'OG T12'!$D$7:$P$226*(MONTH('OG T12'!$D$5:$P$5)=MONTH(G$6))*(YEAR('OG T12'!$D$5:$P$5)=YEAR(G$6))),0)</f>
        <v/>
      </c>
      <c r="H24" s="51">
        <f>IFERROR(SUMPRODUCT((LEFT('OG T12'!$B$7:$B$226,LEN($B24))=$B24)*'OG T12'!$D$7:$P$226*(MONTH('OG T12'!$D$5:$P$5)=MONTH(H$6))*(YEAR('OG T12'!$D$5:$P$5)=YEAR(H$6))),0)</f>
        <v/>
      </c>
      <c r="I24" s="51">
        <f>IFERROR(SUMPRODUCT((LEFT('OG T12'!$B$7:$B$226,LEN($B24))=$B24)*'OG T12'!$D$7:$P$226*(MONTH('OG T12'!$D$5:$P$5)=MONTH(I$6))*(YEAR('OG T12'!$D$5:$P$5)=YEAR(I$6))),0)</f>
        <v/>
      </c>
      <c r="J24" s="51">
        <f>IFERROR(SUMPRODUCT((LEFT('OG T12'!$B$7:$B$226,LEN($B24))=$B24)*'OG T12'!$D$7:$P$226*(MONTH('OG T12'!$D$5:$P$5)=MONTH(J$6))*(YEAR('OG T12'!$D$5:$P$5)=YEAR(J$6))),0)</f>
        <v/>
      </c>
      <c r="K24" s="51">
        <f>IFERROR(SUMPRODUCT((LEFT('OG T12'!$B$7:$B$226,LEN($B24))=$B24)*'OG T12'!$D$7:$P$226*(MONTH('OG T12'!$D$5:$P$5)=MONTH(K$6))*(YEAR('OG T12'!$D$5:$P$5)=YEAR(K$6))),0)</f>
        <v/>
      </c>
      <c r="L24" s="51">
        <f>IFERROR(SUMPRODUCT((LEFT('OG T12'!$B$7:$B$226,LEN($B24))=$B24)*'OG T12'!$D$7:$P$226*(MONTH('OG T12'!$D$5:$P$5)=MONTH(L$6))*(YEAR('OG T12'!$D$5:$P$5)=YEAR(L$6))),0)</f>
        <v/>
      </c>
      <c r="M24" s="51">
        <f>IFERROR(SUMPRODUCT((LEFT('OG T12'!$B$7:$B$226,LEN($B24))=$B24)*'OG T12'!$D$7:$P$226*(MONTH('OG T12'!$D$5:$P$5)=MONTH(M$6))*(YEAR('OG T12'!$D$5:$P$5)=YEAR(M$6))),0)</f>
        <v/>
      </c>
      <c r="N24" s="51">
        <f>IFERROR(SUMPRODUCT((LEFT('OG T12'!$B$7:$B$226,LEN($B24))=$B24)*'OG T12'!$D$7:$P$226*(MONTH('OG T12'!$D$5:$P$5)=MONTH(N$6))*(YEAR('OG T12'!$D$5:$P$5)=YEAR(N$6))),0)</f>
        <v/>
      </c>
      <c r="O24" s="51">
        <f>IFERROR(SUMPRODUCT((LEFT('OG T12'!$B$7:$B$226,LEN($B24))=$B24)*'OG T12'!$D$7:$P$226*(MONTH('OG T12'!$D$5:$P$5)=MONTH(O$6))*(YEAR('OG T12'!$D$5:$P$5)=YEAR(O$6))),0)</f>
        <v/>
      </c>
      <c r="P24" s="51">
        <f>IF(SUMPRODUCT((LEFT('OG T12'!$B$7:$B$226,LEN($B24))=$B24)*ISNUMBER('OG T12'!$R$7:$R$226)*('OG T12'!$R$7:$R$226&lt;&gt;0))&gt;0,SUMPRODUCT(--(LEFT('OG T12'!$B$7:$B$226,LEN($B24))=$B24),'OG T12'!$R$7:$R$226),IF(COUNT(D24:O24)&gt;0,SUM(D24:O24),0))</f>
        <v/>
      </c>
      <c r="Q24" s="51">
        <f>IF(COUNT(G24:O24)&gt;0,SUM(G24:O24)/9*12,0)</f>
        <v/>
      </c>
      <c r="R24" s="51">
        <f>IF(COUNT(J24:O24)&gt;0,SUM(J24:O24)/6*12,0)</f>
        <v/>
      </c>
      <c r="S24" s="51">
        <f>IF(COUNT(M24:O24)&gt;0,SUM(M24:O24)/3*12,0)</f>
        <v/>
      </c>
      <c r="T24" s="52" t="n"/>
      <c r="U24" s="51">
        <f>IF($U$6="T9",IF(COUNT(D24:O24)&gt;0,Q24,P24),IF($U$6="T6",IF(COUNT(D24:O24)&gt;0,R24,P24),IF($U$6="T3",IF(COUNT(D24:O24)&gt;0,S24,P24),P24)))+T24</f>
        <v/>
      </c>
      <c r="V24" s="53">
        <f>IFERROR($U24/'Summary &amp; Assumptions'!$C$11,0)</f>
        <v/>
      </c>
      <c r="W24" s="52" t="n"/>
      <c r="X24" s="9" t="n"/>
      <c r="Y24" s="51">
        <f>IF($W24="",$U24,$W24)</f>
        <v/>
      </c>
      <c r="Z24" s="51">
        <f>CHOOSE($AA$4,N(AB24),N(AD24),N(AF24),N(AH24),N(AJ24))</f>
        <v/>
      </c>
      <c r="AA24" s="1" t="n"/>
      <c r="AB24" s="54">
        <f>Y24</f>
        <v/>
      </c>
      <c r="AC24" s="53">
        <f>IFERROR(AB24/'Summary &amp; Assumptions'!$C$11,0)</f>
        <v/>
      </c>
      <c r="AD24" s="52" t="n">
        <v>0</v>
      </c>
      <c r="AE24" s="53">
        <f>IFERROR(AD24/'Summary &amp; Assumptions'!$C$11,0)</f>
        <v/>
      </c>
      <c r="AF24" s="52" t="n"/>
      <c r="AG24" s="53">
        <f>IFERROR(AF24/'Summary &amp; Assumptions'!$C$11,0)</f>
        <v/>
      </c>
      <c r="AH24" s="52" t="n"/>
      <c r="AI24" s="53">
        <f>IFERROR(AH24/'Summary &amp; Assumptions'!$C$11,0)</f>
        <v/>
      </c>
      <c r="AJ24" s="52" t="n"/>
      <c r="AK24" s="53">
        <f>IFERROR(AJ24/'Summary &amp; Assumptions'!$C$11,0)</f>
        <v/>
      </c>
      <c r="AL24" s="1" t="n"/>
      <c r="AM24" s="1" t="n"/>
      <c r="AN24" s="13" t="n"/>
      <c r="AO24" s="14" t="n"/>
      <c r="AP24" s="9" t="n"/>
    </row>
    <row r="25" hidden="1" outlineLevel="1">
      <c r="A25" s="1" t="n"/>
      <c r="B25" s="3" t="inlineStr">
        <is>
          <t>Other Income - App/Admin/Late Fees</t>
        </is>
      </c>
      <c r="C25" s="1" t="n"/>
      <c r="D25" s="51">
        <f>IFERROR(SUMPRODUCT((LEFT('OG T12'!$B$7:$B$226,LEN($B25))=$B25)*'OG T12'!$D$7:$P$226*(MONTH('OG T12'!$D$5:$P$5)=MONTH(D$6))*(YEAR('OG T12'!$D$5:$P$5)=YEAR(D$6))),0)</f>
        <v/>
      </c>
      <c r="E25" s="51">
        <f>IFERROR(SUMPRODUCT((LEFT('OG T12'!$B$7:$B$226,LEN($B25))=$B25)*'OG T12'!$D$7:$P$226*(MONTH('OG T12'!$D$5:$P$5)=MONTH(E$6))*(YEAR('OG T12'!$D$5:$P$5)=YEAR(E$6))),0)</f>
        <v/>
      </c>
      <c r="F25" s="51">
        <f>IFERROR(SUMPRODUCT((LEFT('OG T12'!$B$7:$B$226,LEN($B25))=$B25)*'OG T12'!$D$7:$P$226*(MONTH('OG T12'!$D$5:$P$5)=MONTH(F$6))*(YEAR('OG T12'!$D$5:$P$5)=YEAR(F$6))),0)</f>
        <v/>
      </c>
      <c r="G25" s="51">
        <f>IFERROR(SUMPRODUCT((LEFT('OG T12'!$B$7:$B$226,LEN($B25))=$B25)*'OG T12'!$D$7:$P$226*(MONTH('OG T12'!$D$5:$P$5)=MONTH(G$6))*(YEAR('OG T12'!$D$5:$P$5)=YEAR(G$6))),0)</f>
        <v/>
      </c>
      <c r="H25" s="51">
        <f>IFERROR(SUMPRODUCT((LEFT('OG T12'!$B$7:$B$226,LEN($B25))=$B25)*'OG T12'!$D$7:$P$226*(MONTH('OG T12'!$D$5:$P$5)=MONTH(H$6))*(YEAR('OG T12'!$D$5:$P$5)=YEAR(H$6))),0)</f>
        <v/>
      </c>
      <c r="I25" s="51">
        <f>IFERROR(SUMPRODUCT((LEFT('OG T12'!$B$7:$B$226,LEN($B25))=$B25)*'OG T12'!$D$7:$P$226*(MONTH('OG T12'!$D$5:$P$5)=MONTH(I$6))*(YEAR('OG T12'!$D$5:$P$5)=YEAR(I$6))),0)</f>
        <v/>
      </c>
      <c r="J25" s="51">
        <f>IFERROR(SUMPRODUCT((LEFT('OG T12'!$B$7:$B$226,LEN($B25))=$B25)*'OG T12'!$D$7:$P$226*(MONTH('OG T12'!$D$5:$P$5)=MONTH(J$6))*(YEAR('OG T12'!$D$5:$P$5)=YEAR(J$6))),0)</f>
        <v/>
      </c>
      <c r="K25" s="51">
        <f>IFERROR(SUMPRODUCT((LEFT('OG T12'!$B$7:$B$226,LEN($B25))=$B25)*'OG T12'!$D$7:$P$226*(MONTH('OG T12'!$D$5:$P$5)=MONTH(K$6))*(YEAR('OG T12'!$D$5:$P$5)=YEAR(K$6))),0)</f>
        <v/>
      </c>
      <c r="L25" s="51">
        <f>IFERROR(SUMPRODUCT((LEFT('OG T12'!$B$7:$B$226,LEN($B25))=$B25)*'OG T12'!$D$7:$P$226*(MONTH('OG T12'!$D$5:$P$5)=MONTH(L$6))*(YEAR('OG T12'!$D$5:$P$5)=YEAR(L$6))),0)</f>
        <v/>
      </c>
      <c r="M25" s="51">
        <f>IFERROR(SUMPRODUCT((LEFT('OG T12'!$B$7:$B$226,LEN($B25))=$B25)*'OG T12'!$D$7:$P$226*(MONTH('OG T12'!$D$5:$P$5)=MONTH(M$6))*(YEAR('OG T12'!$D$5:$P$5)=YEAR(M$6))),0)</f>
        <v/>
      </c>
      <c r="N25" s="51">
        <f>IFERROR(SUMPRODUCT((LEFT('OG T12'!$B$7:$B$226,LEN($B25))=$B25)*'OG T12'!$D$7:$P$226*(MONTH('OG T12'!$D$5:$P$5)=MONTH(N$6))*(YEAR('OG T12'!$D$5:$P$5)=YEAR(N$6))),0)</f>
        <v/>
      </c>
      <c r="O25" s="51">
        <f>IFERROR(SUMPRODUCT((LEFT('OG T12'!$B$7:$B$226,LEN($B25))=$B25)*'OG T12'!$D$7:$P$226*(MONTH('OG T12'!$D$5:$P$5)=MONTH(O$6))*(YEAR('OG T12'!$D$5:$P$5)=YEAR(O$6))),0)</f>
        <v/>
      </c>
      <c r="P25" s="51">
        <f>IF(SUMPRODUCT((LEFT('OG T12'!$B$7:$B$226,LEN($B25))=$B25)*ISNUMBER('OG T12'!$R$7:$R$226)*('OG T12'!$R$7:$R$226&lt;&gt;0))&gt;0,SUMPRODUCT(--(LEFT('OG T12'!$B$7:$B$226,LEN($B25))=$B25),'OG T12'!$R$7:$R$226),IF(COUNT(D25:O25)&gt;0,SUM(D25:O25),0))</f>
        <v/>
      </c>
      <c r="Q25" s="51">
        <f>IF(COUNT(G25:O25)&gt;0,SUM(G25:O25)/9*12,0)</f>
        <v/>
      </c>
      <c r="R25" s="51">
        <f>IF(COUNT(J25:O25)&gt;0,SUM(J25:O25)/6*12,0)</f>
        <v/>
      </c>
      <c r="S25" s="51">
        <f>IF(COUNT(M25:O25)&gt;0,SUM(M25:O25)/3*12,0)</f>
        <v/>
      </c>
      <c r="T25" s="52" t="n"/>
      <c r="U25" s="51">
        <f>IF($U$6="T9",IF(COUNT(D25:O25)&gt;0,Q25,P25),IF($U$6="T6",IF(COUNT(D25:O25)&gt;0,R25,P25),IF($U$6="T3",IF(COUNT(D25:O25)&gt;0,S25,P25),P25)))+T25</f>
        <v/>
      </c>
      <c r="V25" s="53">
        <f>IFERROR($U25/'Summary &amp; Assumptions'!$C$11,0)</f>
        <v/>
      </c>
      <c r="W25" s="52" t="n"/>
      <c r="X25" s="9" t="n"/>
      <c r="Y25" s="51">
        <f>IF($W25="",$U25,$W25)</f>
        <v/>
      </c>
      <c r="Z25" s="51">
        <f>CHOOSE($AA$4,N(AB25),N(AD25),N(AF25),N(AH25),N(AJ25))</f>
        <v/>
      </c>
      <c r="AA25" s="1" t="n"/>
      <c r="AB25" s="54">
        <f>Y25</f>
        <v/>
      </c>
      <c r="AC25" s="53">
        <f>IFERROR(AB25/'Summary &amp; Assumptions'!$C$11,0)</f>
        <v/>
      </c>
      <c r="AD25" s="52" t="n">
        <v>0</v>
      </c>
      <c r="AE25" s="53">
        <f>IFERROR(AD25/'Summary &amp; Assumptions'!$C$11,0)</f>
        <v/>
      </c>
      <c r="AF25" s="52" t="n"/>
      <c r="AG25" s="53">
        <f>IFERROR(AF25/'Summary &amp; Assumptions'!$C$11,0)</f>
        <v/>
      </c>
      <c r="AH25" s="52" t="n"/>
      <c r="AI25" s="53">
        <f>IFERROR(AH25/'Summary &amp; Assumptions'!$C$11,0)</f>
        <v/>
      </c>
      <c r="AJ25" s="52" t="n"/>
      <c r="AK25" s="53">
        <f>IFERROR(AJ25/'Summary &amp; Assumptions'!$C$11,0)</f>
        <v/>
      </c>
      <c r="AL25" s="1" t="n"/>
      <c r="AM25" s="1" t="n"/>
      <c r="AN25" s="13" t="n"/>
      <c r="AO25" s="14" t="n"/>
      <c r="AP25" s="9" t="n"/>
    </row>
    <row r="26" hidden="1" outlineLevel="1">
      <c r="A26" s="1" t="n"/>
      <c r="B26" s="3" t="inlineStr">
        <is>
          <t>Other Income - Storage</t>
        </is>
      </c>
      <c r="C26" s="1" t="n"/>
      <c r="D26" s="51">
        <f>IFERROR(SUMPRODUCT((LEFT('OG T12'!$B$7:$B$226,LEN($B26))=$B26)*'OG T12'!$D$7:$P$226*(MONTH('OG T12'!$D$5:$P$5)=MONTH(D$6))*(YEAR('OG T12'!$D$5:$P$5)=YEAR(D$6))),0)</f>
        <v/>
      </c>
      <c r="E26" s="51">
        <f>IFERROR(SUMPRODUCT((LEFT('OG T12'!$B$7:$B$226,LEN($B26))=$B26)*'OG T12'!$D$7:$P$226*(MONTH('OG T12'!$D$5:$P$5)=MONTH(E$6))*(YEAR('OG T12'!$D$5:$P$5)=YEAR(E$6))),0)</f>
        <v/>
      </c>
      <c r="F26" s="51">
        <f>IFERROR(SUMPRODUCT((LEFT('OG T12'!$B$7:$B$226,LEN($B26))=$B26)*'OG T12'!$D$7:$P$226*(MONTH('OG T12'!$D$5:$P$5)=MONTH(F$6))*(YEAR('OG T12'!$D$5:$P$5)=YEAR(F$6))),0)</f>
        <v/>
      </c>
      <c r="G26" s="51">
        <f>IFERROR(SUMPRODUCT((LEFT('OG T12'!$B$7:$B$226,LEN($B26))=$B26)*'OG T12'!$D$7:$P$226*(MONTH('OG T12'!$D$5:$P$5)=MONTH(G$6))*(YEAR('OG T12'!$D$5:$P$5)=YEAR(G$6))),0)</f>
        <v/>
      </c>
      <c r="H26" s="51">
        <f>IFERROR(SUMPRODUCT((LEFT('OG T12'!$B$7:$B$226,LEN($B26))=$B26)*'OG T12'!$D$7:$P$226*(MONTH('OG T12'!$D$5:$P$5)=MONTH(H$6))*(YEAR('OG T12'!$D$5:$P$5)=YEAR(H$6))),0)</f>
        <v/>
      </c>
      <c r="I26" s="51">
        <f>IFERROR(SUMPRODUCT((LEFT('OG T12'!$B$7:$B$226,LEN($B26))=$B26)*'OG T12'!$D$7:$P$226*(MONTH('OG T12'!$D$5:$P$5)=MONTH(I$6))*(YEAR('OG T12'!$D$5:$P$5)=YEAR(I$6))),0)</f>
        <v/>
      </c>
      <c r="J26" s="51">
        <f>IFERROR(SUMPRODUCT((LEFT('OG T12'!$B$7:$B$226,LEN($B26))=$B26)*'OG T12'!$D$7:$P$226*(MONTH('OG T12'!$D$5:$P$5)=MONTH(J$6))*(YEAR('OG T12'!$D$5:$P$5)=YEAR(J$6))),0)</f>
        <v/>
      </c>
      <c r="K26" s="51">
        <f>IFERROR(SUMPRODUCT((LEFT('OG T12'!$B$7:$B$226,LEN($B26))=$B26)*'OG T12'!$D$7:$P$226*(MONTH('OG T12'!$D$5:$P$5)=MONTH(K$6))*(YEAR('OG T12'!$D$5:$P$5)=YEAR(K$6))),0)</f>
        <v/>
      </c>
      <c r="L26" s="51">
        <f>IFERROR(SUMPRODUCT((LEFT('OG T12'!$B$7:$B$226,LEN($B26))=$B26)*'OG T12'!$D$7:$P$226*(MONTH('OG T12'!$D$5:$P$5)=MONTH(L$6))*(YEAR('OG T12'!$D$5:$P$5)=YEAR(L$6))),0)</f>
        <v/>
      </c>
      <c r="M26" s="51">
        <f>IFERROR(SUMPRODUCT((LEFT('OG T12'!$B$7:$B$226,LEN($B26))=$B26)*'OG T12'!$D$7:$P$226*(MONTH('OG T12'!$D$5:$P$5)=MONTH(M$6))*(YEAR('OG T12'!$D$5:$P$5)=YEAR(M$6))),0)</f>
        <v/>
      </c>
      <c r="N26" s="51">
        <f>IFERROR(SUMPRODUCT((LEFT('OG T12'!$B$7:$B$226,LEN($B26))=$B26)*'OG T12'!$D$7:$P$226*(MONTH('OG T12'!$D$5:$P$5)=MONTH(N$6))*(YEAR('OG T12'!$D$5:$P$5)=YEAR(N$6))),0)</f>
        <v/>
      </c>
      <c r="O26" s="51">
        <f>IFERROR(SUMPRODUCT((LEFT('OG T12'!$B$7:$B$226,LEN($B26))=$B26)*'OG T12'!$D$7:$P$226*(MONTH('OG T12'!$D$5:$P$5)=MONTH(O$6))*(YEAR('OG T12'!$D$5:$P$5)=YEAR(O$6))),0)</f>
        <v/>
      </c>
      <c r="P26" s="51">
        <f>IF(SUMPRODUCT((LEFT('OG T12'!$B$7:$B$226,LEN($B26))=$B26)*ISNUMBER('OG T12'!$R$7:$R$226)*('OG T12'!$R$7:$R$226&lt;&gt;0))&gt;0,SUMPRODUCT(--(LEFT('OG T12'!$B$7:$B$226,LEN($B26))=$B26),'OG T12'!$R$7:$R$226),IF(COUNT(D26:O26)&gt;0,SUM(D26:O26),0))</f>
        <v/>
      </c>
      <c r="Q26" s="51">
        <f>IF(COUNT(G26:O26)&gt;0,SUM(G26:O26)/9*12,0)</f>
        <v/>
      </c>
      <c r="R26" s="51">
        <f>IF(COUNT(J26:O26)&gt;0,SUM(J26:O26)/6*12,0)</f>
        <v/>
      </c>
      <c r="S26" s="51">
        <f>IF(COUNT(M26:O26)&gt;0,SUM(M26:O26)/3*12,0)</f>
        <v/>
      </c>
      <c r="T26" s="52" t="n"/>
      <c r="U26" s="51">
        <f>IF($U$6="T9",IF(COUNT(D26:O26)&gt;0,Q26,P26),IF($U$6="T6",IF(COUNT(D26:O26)&gt;0,R26,P26),IF($U$6="T3",IF(COUNT(D26:O26)&gt;0,S26,P26),P26)))+T26</f>
        <v/>
      </c>
      <c r="V26" s="53">
        <f>IFERROR($U26/'Summary &amp; Assumptions'!$C$11,0)</f>
        <v/>
      </c>
      <c r="W26" s="52" t="n"/>
      <c r="X26" s="9" t="n"/>
      <c r="Y26" s="51">
        <f>IF($W26="",$U26,$W26)</f>
        <v/>
      </c>
      <c r="Z26" s="51">
        <f>CHOOSE($AA$4,N(AB26),N(AD26),N(AF26),N(AH26),N(AJ26))</f>
        <v/>
      </c>
      <c r="AA26" s="1" t="n"/>
      <c r="AB26" s="54">
        <f>Y26</f>
        <v/>
      </c>
      <c r="AC26" s="53">
        <f>IFERROR(AB26/'Summary &amp; Assumptions'!$C$11,0)</f>
        <v/>
      </c>
      <c r="AD26" s="52" t="n">
        <v>0</v>
      </c>
      <c r="AE26" s="53">
        <f>IFERROR(AD26/'Summary &amp; Assumptions'!$C$11,0)</f>
        <v/>
      </c>
      <c r="AF26" s="52" t="n"/>
      <c r="AG26" s="53">
        <f>IFERROR(AF26/'Summary &amp; Assumptions'!$C$11,0)</f>
        <v/>
      </c>
      <c r="AH26" s="52" t="n"/>
      <c r="AI26" s="53">
        <f>IFERROR(AH26/'Summary &amp; Assumptions'!$C$11,0)</f>
        <v/>
      </c>
      <c r="AJ26" s="52" t="n"/>
      <c r="AK26" s="53">
        <f>IFERROR(AJ26/'Summary &amp; Assumptions'!$C$11,0)</f>
        <v/>
      </c>
      <c r="AL26" s="1" t="n"/>
      <c r="AM26" s="1" t="n"/>
      <c r="AN26" s="13" t="n"/>
      <c r="AO26" s="14" t="n"/>
      <c r="AP26" s="9" t="n"/>
    </row>
    <row r="27" hidden="1" outlineLevel="1">
      <c r="A27" s="1" t="n"/>
      <c r="B27" s="3" t="inlineStr">
        <is>
          <t>Other Income - Laundry/Vending</t>
        </is>
      </c>
      <c r="C27" s="1" t="n"/>
      <c r="D27" s="51">
        <f>IFERROR(SUMPRODUCT((LEFT('OG T12'!$B$7:$B$226,LEN($B27))=$B27)*'OG T12'!$D$7:$P$226*(MONTH('OG T12'!$D$5:$P$5)=MONTH(D$6))*(YEAR('OG T12'!$D$5:$P$5)=YEAR(D$6))),0)</f>
        <v/>
      </c>
      <c r="E27" s="51">
        <f>IFERROR(SUMPRODUCT((LEFT('OG T12'!$B$7:$B$226,LEN($B27))=$B27)*'OG T12'!$D$7:$P$226*(MONTH('OG T12'!$D$5:$P$5)=MONTH(E$6))*(YEAR('OG T12'!$D$5:$P$5)=YEAR(E$6))),0)</f>
        <v/>
      </c>
      <c r="F27" s="51">
        <f>IFERROR(SUMPRODUCT((LEFT('OG T12'!$B$7:$B$226,LEN($B27))=$B27)*'OG T12'!$D$7:$P$226*(MONTH('OG T12'!$D$5:$P$5)=MONTH(F$6))*(YEAR('OG T12'!$D$5:$P$5)=YEAR(F$6))),0)</f>
        <v/>
      </c>
      <c r="G27" s="51">
        <f>IFERROR(SUMPRODUCT((LEFT('OG T12'!$B$7:$B$226,LEN($B27))=$B27)*'OG T12'!$D$7:$P$226*(MONTH('OG T12'!$D$5:$P$5)=MONTH(G$6))*(YEAR('OG T12'!$D$5:$P$5)=YEAR(G$6))),0)</f>
        <v/>
      </c>
      <c r="H27" s="51">
        <f>IFERROR(SUMPRODUCT((LEFT('OG T12'!$B$7:$B$226,LEN($B27))=$B27)*'OG T12'!$D$7:$P$226*(MONTH('OG T12'!$D$5:$P$5)=MONTH(H$6))*(YEAR('OG T12'!$D$5:$P$5)=YEAR(H$6))),0)</f>
        <v/>
      </c>
      <c r="I27" s="51">
        <f>IFERROR(SUMPRODUCT((LEFT('OG T12'!$B$7:$B$226,LEN($B27))=$B27)*'OG T12'!$D$7:$P$226*(MONTH('OG T12'!$D$5:$P$5)=MONTH(I$6))*(YEAR('OG T12'!$D$5:$P$5)=YEAR(I$6))),0)</f>
        <v/>
      </c>
      <c r="J27" s="51">
        <f>IFERROR(SUMPRODUCT((LEFT('OG T12'!$B$7:$B$226,LEN($B27))=$B27)*'OG T12'!$D$7:$P$226*(MONTH('OG T12'!$D$5:$P$5)=MONTH(J$6))*(YEAR('OG T12'!$D$5:$P$5)=YEAR(J$6))),0)</f>
        <v/>
      </c>
      <c r="K27" s="51">
        <f>IFERROR(SUMPRODUCT((LEFT('OG T12'!$B$7:$B$226,LEN($B27))=$B27)*'OG T12'!$D$7:$P$226*(MONTH('OG T12'!$D$5:$P$5)=MONTH(K$6))*(YEAR('OG T12'!$D$5:$P$5)=YEAR(K$6))),0)</f>
        <v/>
      </c>
      <c r="L27" s="51">
        <f>IFERROR(SUMPRODUCT((LEFT('OG T12'!$B$7:$B$226,LEN($B27))=$B27)*'OG T12'!$D$7:$P$226*(MONTH('OG T12'!$D$5:$P$5)=MONTH(L$6))*(YEAR('OG T12'!$D$5:$P$5)=YEAR(L$6))),0)</f>
        <v/>
      </c>
      <c r="M27" s="51">
        <f>IFERROR(SUMPRODUCT((LEFT('OG T12'!$B$7:$B$226,LEN($B27))=$B27)*'OG T12'!$D$7:$P$226*(MONTH('OG T12'!$D$5:$P$5)=MONTH(M$6))*(YEAR('OG T12'!$D$5:$P$5)=YEAR(M$6))),0)</f>
        <v/>
      </c>
      <c r="N27" s="51">
        <f>IFERROR(SUMPRODUCT((LEFT('OG T12'!$B$7:$B$226,LEN($B27))=$B27)*'OG T12'!$D$7:$P$226*(MONTH('OG T12'!$D$5:$P$5)=MONTH(N$6))*(YEAR('OG T12'!$D$5:$P$5)=YEAR(N$6))),0)</f>
        <v/>
      </c>
      <c r="O27" s="51">
        <f>IFERROR(SUMPRODUCT((LEFT('OG T12'!$B$7:$B$226,LEN($B27))=$B27)*'OG T12'!$D$7:$P$226*(MONTH('OG T12'!$D$5:$P$5)=MONTH(O$6))*(YEAR('OG T12'!$D$5:$P$5)=YEAR(O$6))),0)</f>
        <v/>
      </c>
      <c r="P27" s="51">
        <f>IF(SUMPRODUCT((LEFT('OG T12'!$B$7:$B$226,LEN($B27))=$B27)*ISNUMBER('OG T12'!$R$7:$R$226)*('OG T12'!$R$7:$R$226&lt;&gt;0))&gt;0,SUMPRODUCT(--(LEFT('OG T12'!$B$7:$B$226,LEN($B27))=$B27),'OG T12'!$R$7:$R$226),IF(COUNT(D27:O27)&gt;0,SUM(D27:O27),0))</f>
        <v/>
      </c>
      <c r="Q27" s="51">
        <f>IF(COUNT(G27:O27)&gt;0,SUM(G27:O27)/9*12,0)</f>
        <v/>
      </c>
      <c r="R27" s="51">
        <f>IF(COUNT(J27:O27)&gt;0,SUM(J27:O27)/6*12,0)</f>
        <v/>
      </c>
      <c r="S27" s="51">
        <f>IF(COUNT(M27:O27)&gt;0,SUM(M27:O27)/3*12,0)</f>
        <v/>
      </c>
      <c r="T27" s="52" t="n"/>
      <c r="U27" s="51">
        <f>IF($U$6="T9",IF(COUNT(D27:O27)&gt;0,Q27,P27),IF($U$6="T6",IF(COUNT(D27:O27)&gt;0,R27,P27),IF($U$6="T3",IF(COUNT(D27:O27)&gt;0,S27,P27),P27)))+T27</f>
        <v/>
      </c>
      <c r="V27" s="53">
        <f>IFERROR($U27/'Summary &amp; Assumptions'!$C$11,0)</f>
        <v/>
      </c>
      <c r="W27" s="52" t="n"/>
      <c r="X27" s="9" t="n"/>
      <c r="Y27" s="51">
        <f>IF($W27="",$U27,$W27)</f>
        <v/>
      </c>
      <c r="Z27" s="51">
        <f>CHOOSE($AA$4,N(AB27),N(AD27),N(AF27),N(AH27),N(AJ27))</f>
        <v/>
      </c>
      <c r="AA27" s="1" t="n"/>
      <c r="AB27" s="54">
        <f>Y27</f>
        <v/>
      </c>
      <c r="AC27" s="53">
        <f>IFERROR(AB27/'Summary &amp; Assumptions'!$C$11,0)</f>
        <v/>
      </c>
      <c r="AD27" s="52" t="n">
        <v>0</v>
      </c>
      <c r="AE27" s="53">
        <f>IFERROR(AD27/'Summary &amp; Assumptions'!$C$11,0)</f>
        <v/>
      </c>
      <c r="AF27" s="52" t="n"/>
      <c r="AG27" s="53">
        <f>IFERROR(AF27/'Summary &amp; Assumptions'!$C$11,0)</f>
        <v/>
      </c>
      <c r="AH27" s="52" t="n"/>
      <c r="AI27" s="53">
        <f>IFERROR(AH27/'Summary &amp; Assumptions'!$C$11,0)</f>
        <v/>
      </c>
      <c r="AJ27" s="52" t="n"/>
      <c r="AK27" s="53">
        <f>IFERROR(AJ27/'Summary &amp; Assumptions'!$C$11,0)</f>
        <v/>
      </c>
      <c r="AL27" s="1" t="n"/>
      <c r="AM27" s="1" t="n"/>
      <c r="AN27" s="13" t="n"/>
      <c r="AO27" s="14" t="n"/>
      <c r="AP27" s="9" t="n"/>
    </row>
    <row r="28">
      <c r="A28" s="1" t="n"/>
      <c r="B28" s="17" t="inlineStr">
        <is>
          <t>Total Income (EGR)</t>
        </is>
      </c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55">
        <f>U8+U14+U20+U21-U9-U10-U11-U12-U13</f>
        <v/>
      </c>
      <c r="V28" s="53">
        <f>IFERROR($U28/'Summary &amp; Assumptions'!$C$11,0)</f>
        <v/>
      </c>
      <c r="W28" s="1" t="n"/>
      <c r="X28" s="1" t="n"/>
      <c r="Y28" s="1" t="n"/>
      <c r="Z28" s="55">
        <f>CHOOSE($AA$4,N(AB28),N(AD28),N(AF28),N(AH28),N(AJ28))</f>
        <v/>
      </c>
      <c r="AA28" s="1" t="n"/>
      <c r="AB28" s="55">
        <f>AB8+AB14+AB20+AB21-AB9-AB10-AB11-AB12-AB13</f>
        <v/>
      </c>
      <c r="AC28" s="53">
        <f>IFERROR(AB28/'Summary &amp; Assumptions'!$C$11,0)</f>
        <v/>
      </c>
      <c r="AD28" s="55">
        <f>AD8+AD14+AD20+AD21-AD9-AD10-AD11-AD12-AD13</f>
        <v/>
      </c>
      <c r="AE28" s="53">
        <f>IFERROR(AD28/'Summary &amp; Assumptions'!$C$11,0)</f>
        <v/>
      </c>
      <c r="AF28" s="55">
        <f>AF8+AF14+AF20+AF21-AF9-AF10-AF11-AF12-AF13</f>
        <v/>
      </c>
      <c r="AG28" s="53">
        <f>IFERROR(AF28/'Summary &amp; Assumptions'!$C$11,0)</f>
        <v/>
      </c>
      <c r="AH28" s="55">
        <f>AH8+AH14+AH20+AH21-AH9-AH10-AH11-AH12-AH13</f>
        <v/>
      </c>
      <c r="AI28" s="53">
        <f>IFERROR(AH28/'Summary &amp; Assumptions'!$C$11,0)</f>
        <v/>
      </c>
      <c r="AJ28" s="55">
        <f>AJ8+AJ14+AJ20+AJ21-AJ9-AJ10-AJ11-AJ12-AJ13</f>
        <v/>
      </c>
      <c r="AK28" s="53">
        <f>IFERROR(AJ28/'Summary &amp; Assumptions'!$C$11,0)</f>
        <v/>
      </c>
      <c r="AL28" s="1" t="n"/>
      <c r="AM28" s="1" t="n"/>
      <c r="AN28" s="1" t="n"/>
      <c r="AO28" s="1" t="n"/>
      <c r="AP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  <c r="AA29" s="1" t="n"/>
      <c r="AB29" s="1" t="n"/>
      <c r="AC29" s="1" t="n"/>
      <c r="AD29" s="1" t="n"/>
      <c r="AE29" s="1" t="n"/>
      <c r="AF29" s="1" t="n"/>
      <c r="AG29" s="1" t="n"/>
      <c r="AH29" s="1" t="n"/>
      <c r="AI29" s="1" t="n"/>
      <c r="AJ29" s="1" t="n"/>
      <c r="AK29" s="1" t="n"/>
      <c r="AL29" s="1" t="n"/>
      <c r="AM29" s="1" t="n"/>
      <c r="AN29" s="1" t="n"/>
      <c r="AO29" s="1" t="n"/>
      <c r="AP29" s="1" t="n"/>
    </row>
    <row r="30">
      <c r="A30" s="1" t="n"/>
      <c r="B30" s="6" t="inlineStr">
        <is>
          <t>Expenses</t>
        </is>
      </c>
      <c r="C30" s="7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  <c r="AA30" s="1" t="n"/>
      <c r="AB30" s="1" t="n"/>
      <c r="AC30" s="1" t="n"/>
      <c r="AD30" s="1" t="n"/>
      <c r="AE30" s="1" t="n"/>
      <c r="AF30" s="1" t="n"/>
      <c r="AG30" s="1" t="n"/>
      <c r="AH30" s="1" t="n"/>
      <c r="AI30" s="1" t="n"/>
      <c r="AJ30" s="1" t="n"/>
      <c r="AK30" s="1" t="n"/>
      <c r="AL30" s="1" t="n"/>
      <c r="AM30" s="1" t="n"/>
      <c r="AN30" s="1" t="n"/>
      <c r="AO30" s="1" t="n"/>
      <c r="AP30" s="1" t="n"/>
    </row>
    <row r="31">
      <c r="A31" s="1" t="n"/>
      <c r="B31" s="8" t="inlineStr">
        <is>
          <t>Real Estate Taxes</t>
        </is>
      </c>
      <c r="C31" s="1" t="n"/>
      <c r="D31" s="51">
        <f>IFERROR(SUMPRODUCT((LEFT('OG T12'!$B$7:$B$226,LEN($B31))=$B31)*'OG T12'!$D$7:$P$226*(MONTH('OG T12'!$D$5:$P$5)=MONTH(D$6))*(YEAR('OG T12'!$D$5:$P$5)=YEAR(D$6))),0)</f>
        <v/>
      </c>
      <c r="E31" s="51">
        <f>IFERROR(SUMPRODUCT((LEFT('OG T12'!$B$7:$B$226,LEN($B31))=$B31)*'OG T12'!$D$7:$P$226*(MONTH('OG T12'!$D$5:$P$5)=MONTH(E$6))*(YEAR('OG T12'!$D$5:$P$5)=YEAR(E$6))),0)</f>
        <v/>
      </c>
      <c r="F31" s="51">
        <f>IFERROR(SUMPRODUCT((LEFT('OG T12'!$B$7:$B$226,LEN($B31))=$B31)*'OG T12'!$D$7:$P$226*(MONTH('OG T12'!$D$5:$P$5)=MONTH(F$6))*(YEAR('OG T12'!$D$5:$P$5)=YEAR(F$6))),0)</f>
        <v/>
      </c>
      <c r="G31" s="51">
        <f>IFERROR(SUMPRODUCT((LEFT('OG T12'!$B$7:$B$226,LEN($B31))=$B31)*'OG T12'!$D$7:$P$226*(MONTH('OG T12'!$D$5:$P$5)=MONTH(G$6))*(YEAR('OG T12'!$D$5:$P$5)=YEAR(G$6))),0)</f>
        <v/>
      </c>
      <c r="H31" s="51">
        <f>IFERROR(SUMPRODUCT((LEFT('OG T12'!$B$7:$B$226,LEN($B31))=$B31)*'OG T12'!$D$7:$P$226*(MONTH('OG T12'!$D$5:$P$5)=MONTH(H$6))*(YEAR('OG T12'!$D$5:$P$5)=YEAR(H$6))),0)</f>
        <v/>
      </c>
      <c r="I31" s="51">
        <f>IFERROR(SUMPRODUCT((LEFT('OG T12'!$B$7:$B$226,LEN($B31))=$B31)*'OG T12'!$D$7:$P$226*(MONTH('OG T12'!$D$5:$P$5)=MONTH(I$6))*(YEAR('OG T12'!$D$5:$P$5)=YEAR(I$6))),0)</f>
        <v/>
      </c>
      <c r="J31" s="51">
        <f>IFERROR(SUMPRODUCT((LEFT('OG T12'!$B$7:$B$226,LEN($B31))=$B31)*'OG T12'!$D$7:$P$226*(MONTH('OG T12'!$D$5:$P$5)=MONTH(J$6))*(YEAR('OG T12'!$D$5:$P$5)=YEAR(J$6))),0)</f>
        <v/>
      </c>
      <c r="K31" s="51">
        <f>IFERROR(SUMPRODUCT((LEFT('OG T12'!$B$7:$B$226,LEN($B31))=$B31)*'OG T12'!$D$7:$P$226*(MONTH('OG T12'!$D$5:$P$5)=MONTH(K$6))*(YEAR('OG T12'!$D$5:$P$5)=YEAR(K$6))),0)</f>
        <v/>
      </c>
      <c r="L31" s="51">
        <f>IFERROR(SUMPRODUCT((LEFT('OG T12'!$B$7:$B$226,LEN($B31))=$B31)*'OG T12'!$D$7:$P$226*(MONTH('OG T12'!$D$5:$P$5)=MONTH(L$6))*(YEAR('OG T12'!$D$5:$P$5)=YEAR(L$6))),0)</f>
        <v/>
      </c>
      <c r="M31" s="51">
        <f>IFERROR(SUMPRODUCT((LEFT('OG T12'!$B$7:$B$226,LEN($B31))=$B31)*'OG T12'!$D$7:$P$226*(MONTH('OG T12'!$D$5:$P$5)=MONTH(M$6))*(YEAR('OG T12'!$D$5:$P$5)=YEAR(M$6))),0)</f>
        <v/>
      </c>
      <c r="N31" s="51">
        <f>IFERROR(SUMPRODUCT((LEFT('OG T12'!$B$7:$B$226,LEN($B31))=$B31)*'OG T12'!$D$7:$P$226*(MONTH('OG T12'!$D$5:$P$5)=MONTH(N$6))*(YEAR('OG T12'!$D$5:$P$5)=YEAR(N$6))),0)</f>
        <v/>
      </c>
      <c r="O31" s="51">
        <f>IFERROR(SUMPRODUCT((LEFT('OG T12'!$B$7:$B$226,LEN($B31))=$B31)*'OG T12'!$D$7:$P$226*(MONTH('OG T12'!$D$5:$P$5)=MONTH(O$6))*(YEAR('OG T12'!$D$5:$P$5)=YEAR(O$6))),0)</f>
        <v/>
      </c>
      <c r="P31" s="51">
        <f>IF(SUMPRODUCT((LEFT('OG T12'!$B$7:$B$226,LEN($B31))=$B31)*ISNUMBER('OG T12'!$R$7:$R$226)*('OG T12'!$R$7:$R$226&lt;&gt;0))&gt;0,SUMPRODUCT(--(LEFT('OG T12'!$B$7:$B$226,LEN($B31))=$B31),'OG T12'!$R$7:$R$226),IF(COUNT(D31:O31)&gt;0,SUM(D31:O31),0))</f>
        <v/>
      </c>
      <c r="Q31" s="51">
        <f>IF(COUNT(G31:O31)&gt;0,SUM(G31:O31)/9*12,0)</f>
        <v/>
      </c>
      <c r="R31" s="51">
        <f>IF(COUNT(J31:O31)&gt;0,SUM(J31:O31)/6*12,0)</f>
        <v/>
      </c>
      <c r="S31" s="51">
        <f>IF(COUNT(M31:O31)&gt;0,SUM(M31:O31)/3*12,0)</f>
        <v/>
      </c>
      <c r="T31" s="52" t="n"/>
      <c r="U31" s="51">
        <f>IF($U$6="T9",IF(COUNT(D31:O31)&gt;0,Q31,P31),IF($U$6="T6",IF(COUNT(D31:O31)&gt;0,R31,P31),IF($U$6="T3",IF(COUNT(D31:O31)&gt;0,S31,P31),P31)))+T31</f>
        <v/>
      </c>
      <c r="V31" s="53">
        <f>IFERROR($U31/'Summary &amp; Assumptions'!$C$11,0)</f>
        <v/>
      </c>
      <c r="W31" s="52" t="n"/>
      <c r="X31" s="9" t="n"/>
      <c r="Y31" s="51">
        <f>IF($W31="",$U31,IF($X31="Total $",$W31,IF($X31="/ unit",$W31*'Summary &amp; Assumptions'!$C$11,IF($X31="% of EGR",$W31*'P&amp;L'!$U$28,IF($X31="/ SF",$W31*'Summary &amp; Assumptions'!$C$16,IF($X31="% of historicals",$W31*$U31,IF($X31="$ / occ. unit",$W31*'Summary &amp; Assumptions'!$C$15,$W31)))))))</f>
        <v/>
      </c>
      <c r="Z31" s="51">
        <f>CHOOSE($AA$4,N(AB31),N(AD31),N(AF31),N(AH31),N(AJ31))</f>
        <v/>
      </c>
      <c r="AA31" s="1" t="n"/>
      <c r="AB31" s="54">
        <f>IF(SUMIFS($W$51:$W$65,$X$51:$X$65,$B31)&gt;0,SUMIFS($W$51:$W$65,$X$51:$X$65,$B31),Y31)</f>
        <v/>
      </c>
      <c r="AC31" s="53">
        <f>IFERROR(AB31/'Summary &amp; Assumptions'!$C$11,0)</f>
        <v/>
      </c>
      <c r="AD31" s="52" t="n">
        <v>0</v>
      </c>
      <c r="AE31" s="53">
        <f>IFERROR(AD31/'Summary &amp; Assumptions'!$C$11,0)</f>
        <v/>
      </c>
      <c r="AF31" s="52" t="n"/>
      <c r="AG31" s="53">
        <f>IFERROR(AF31/'Summary &amp; Assumptions'!$C$11,0)</f>
        <v/>
      </c>
      <c r="AH31" s="52" t="n"/>
      <c r="AI31" s="53">
        <f>IFERROR(AH31/'Summary &amp; Assumptions'!$C$11,0)</f>
        <v/>
      </c>
      <c r="AJ31" s="52" t="n"/>
      <c r="AK31" s="53">
        <f>IFERROR(AJ31/'Summary &amp; Assumptions'!$C$11,0)</f>
        <v/>
      </c>
      <c r="AL31" s="1" t="n"/>
      <c r="AM31" s="1" t="n"/>
      <c r="AN31" s="13" t="n"/>
      <c r="AO31" s="14" t="n"/>
      <c r="AP31" s="9" t="n"/>
    </row>
    <row r="32">
      <c r="A32" s="1" t="n"/>
      <c r="B32" s="8" t="inlineStr">
        <is>
          <t>Insurance</t>
        </is>
      </c>
      <c r="C32" s="1" t="n"/>
      <c r="D32" s="51">
        <f>IFERROR(SUMPRODUCT((LEFT('OG T12'!$B$7:$B$226,LEN($B32))=$B32)*'OG T12'!$D$7:$P$226*(MONTH('OG T12'!$D$5:$P$5)=MONTH(D$6))*(YEAR('OG T12'!$D$5:$P$5)=YEAR(D$6))),0)</f>
        <v/>
      </c>
      <c r="E32" s="51">
        <f>IFERROR(SUMPRODUCT((LEFT('OG T12'!$B$7:$B$226,LEN($B32))=$B32)*'OG T12'!$D$7:$P$226*(MONTH('OG T12'!$D$5:$P$5)=MONTH(E$6))*(YEAR('OG T12'!$D$5:$P$5)=YEAR(E$6))),0)</f>
        <v/>
      </c>
      <c r="F32" s="51">
        <f>IFERROR(SUMPRODUCT((LEFT('OG T12'!$B$7:$B$226,LEN($B32))=$B32)*'OG T12'!$D$7:$P$226*(MONTH('OG T12'!$D$5:$P$5)=MONTH(F$6))*(YEAR('OG T12'!$D$5:$P$5)=YEAR(F$6))),0)</f>
        <v/>
      </c>
      <c r="G32" s="51">
        <f>IFERROR(SUMPRODUCT((LEFT('OG T12'!$B$7:$B$226,LEN($B32))=$B32)*'OG T12'!$D$7:$P$226*(MONTH('OG T12'!$D$5:$P$5)=MONTH(G$6))*(YEAR('OG T12'!$D$5:$P$5)=YEAR(G$6))),0)</f>
        <v/>
      </c>
      <c r="H32" s="51">
        <f>IFERROR(SUMPRODUCT((LEFT('OG T12'!$B$7:$B$226,LEN($B32))=$B32)*'OG T12'!$D$7:$P$226*(MONTH('OG T12'!$D$5:$P$5)=MONTH(H$6))*(YEAR('OG T12'!$D$5:$P$5)=YEAR(H$6))),0)</f>
        <v/>
      </c>
      <c r="I32" s="51">
        <f>IFERROR(SUMPRODUCT((LEFT('OG T12'!$B$7:$B$226,LEN($B32))=$B32)*'OG T12'!$D$7:$P$226*(MONTH('OG T12'!$D$5:$P$5)=MONTH(I$6))*(YEAR('OG T12'!$D$5:$P$5)=YEAR(I$6))),0)</f>
        <v/>
      </c>
      <c r="J32" s="51">
        <f>IFERROR(SUMPRODUCT((LEFT('OG T12'!$B$7:$B$226,LEN($B32))=$B32)*'OG T12'!$D$7:$P$226*(MONTH('OG T12'!$D$5:$P$5)=MONTH(J$6))*(YEAR('OG T12'!$D$5:$P$5)=YEAR(J$6))),0)</f>
        <v/>
      </c>
      <c r="K32" s="51">
        <f>IFERROR(SUMPRODUCT((LEFT('OG T12'!$B$7:$B$226,LEN($B32))=$B32)*'OG T12'!$D$7:$P$226*(MONTH('OG T12'!$D$5:$P$5)=MONTH(K$6))*(YEAR('OG T12'!$D$5:$P$5)=YEAR(K$6))),0)</f>
        <v/>
      </c>
      <c r="L32" s="51">
        <f>IFERROR(SUMPRODUCT((LEFT('OG T12'!$B$7:$B$226,LEN($B32))=$B32)*'OG T12'!$D$7:$P$226*(MONTH('OG T12'!$D$5:$P$5)=MONTH(L$6))*(YEAR('OG T12'!$D$5:$P$5)=YEAR(L$6))),0)</f>
        <v/>
      </c>
      <c r="M32" s="51">
        <f>IFERROR(SUMPRODUCT((LEFT('OG T12'!$B$7:$B$226,LEN($B32))=$B32)*'OG T12'!$D$7:$P$226*(MONTH('OG T12'!$D$5:$P$5)=MONTH(M$6))*(YEAR('OG T12'!$D$5:$P$5)=YEAR(M$6))),0)</f>
        <v/>
      </c>
      <c r="N32" s="51">
        <f>IFERROR(SUMPRODUCT((LEFT('OG T12'!$B$7:$B$226,LEN($B32))=$B32)*'OG T12'!$D$7:$P$226*(MONTH('OG T12'!$D$5:$P$5)=MONTH(N$6))*(YEAR('OG T12'!$D$5:$P$5)=YEAR(N$6))),0)</f>
        <v/>
      </c>
      <c r="O32" s="51">
        <f>IFERROR(SUMPRODUCT((LEFT('OG T12'!$B$7:$B$226,LEN($B32))=$B32)*'OG T12'!$D$7:$P$226*(MONTH('OG T12'!$D$5:$P$5)=MONTH(O$6))*(YEAR('OG T12'!$D$5:$P$5)=YEAR(O$6))),0)</f>
        <v/>
      </c>
      <c r="P32" s="51">
        <f>IF(SUMPRODUCT((LEFT('OG T12'!$B$7:$B$226,LEN($B32))=$B32)*ISNUMBER('OG T12'!$R$7:$R$226)*('OG T12'!$R$7:$R$226&lt;&gt;0))&gt;0,SUMPRODUCT(--(LEFT('OG T12'!$B$7:$B$226,LEN($B32))=$B32),'OG T12'!$R$7:$R$226),IF(COUNT(D32:O32)&gt;0,SUM(D32:O32),0))</f>
        <v/>
      </c>
      <c r="Q32" s="51">
        <f>IF(COUNT(G32:O32)&gt;0,SUM(G32:O32)/9*12,0)</f>
        <v/>
      </c>
      <c r="R32" s="51">
        <f>IF(COUNT(J32:O32)&gt;0,SUM(J32:O32)/6*12,0)</f>
        <v/>
      </c>
      <c r="S32" s="51">
        <f>IF(COUNT(M32:O32)&gt;0,SUM(M32:O32)/3*12,0)</f>
        <v/>
      </c>
      <c r="T32" s="52" t="n"/>
      <c r="U32" s="51">
        <f>IF($U$6="T9",IF(COUNT(D32:O32)&gt;0,Q32,P32),IF($U$6="T6",IF(COUNT(D32:O32)&gt;0,R32,P32),IF($U$6="T3",IF(COUNT(D32:O32)&gt;0,S32,P32),P32)))+T32</f>
        <v/>
      </c>
      <c r="V32" s="53">
        <f>IFERROR($U32/'Summary &amp; Assumptions'!$C$11,0)</f>
        <v/>
      </c>
      <c r="W32" s="52" t="n"/>
      <c r="X32" s="9" t="n"/>
      <c r="Y32" s="51">
        <f>IF($W32="",$U32,IF($X32="Total $",$W32,IF($X32="/ unit",$W32*'Summary &amp; Assumptions'!$C$11,IF($X32="% of EGR",$W32*'P&amp;L'!$U$28,IF($X32="/ SF",$W32*'Summary &amp; Assumptions'!$C$16,IF($X32="% of historicals",$W32*$U32,IF($X32="$ / occ. unit",$W32*'Summary &amp; Assumptions'!$C$15,$W32)))))))</f>
        <v/>
      </c>
      <c r="Z32" s="51">
        <f>CHOOSE($AA$4,N(AB32),N(AD32),N(AF32),N(AH32),N(AJ32))</f>
        <v/>
      </c>
      <c r="AA32" s="1" t="n"/>
      <c r="AB32" s="54">
        <f>IF(SUMIFS($W$51:$W$65,$X$51:$X$65,$B32)&gt;0,SUMIFS($W$51:$W$65,$X$51:$X$65,$B32),Y32)</f>
        <v/>
      </c>
      <c r="AC32" s="53">
        <f>IFERROR(AB32/'Summary &amp; Assumptions'!$C$11,0)</f>
        <v/>
      </c>
      <c r="AD32" s="52" t="n">
        <v>0</v>
      </c>
      <c r="AE32" s="53">
        <f>IFERROR(AD32/'Summary &amp; Assumptions'!$C$11,0)</f>
        <v/>
      </c>
      <c r="AF32" s="52" t="n"/>
      <c r="AG32" s="53">
        <f>IFERROR(AF32/'Summary &amp; Assumptions'!$C$11,0)</f>
        <v/>
      </c>
      <c r="AH32" s="52" t="n"/>
      <c r="AI32" s="53">
        <f>IFERROR(AH32/'Summary &amp; Assumptions'!$C$11,0)</f>
        <v/>
      </c>
      <c r="AJ32" s="52" t="n"/>
      <c r="AK32" s="53">
        <f>IFERROR(AJ32/'Summary &amp; Assumptions'!$C$11,0)</f>
        <v/>
      </c>
      <c r="AL32" s="1" t="n"/>
      <c r="AM32" s="1" t="n"/>
      <c r="AN32" s="13" t="n"/>
      <c r="AO32" s="14" t="n"/>
      <c r="AP32" s="9" t="n"/>
    </row>
    <row r="33">
      <c r="A33" s="1" t="n"/>
      <c r="B33" s="8" t="inlineStr">
        <is>
          <t>Salaries</t>
        </is>
      </c>
      <c r="C33" s="1" t="n"/>
      <c r="D33" s="51">
        <f>IFERROR(SUMPRODUCT((LEFT('OG T12'!$B$7:$B$226,LEN($B33))=$B33)*'OG T12'!$D$7:$P$226*(MONTH('OG T12'!$D$5:$P$5)=MONTH(D$6))*(YEAR('OG T12'!$D$5:$P$5)=YEAR(D$6))),0)</f>
        <v/>
      </c>
      <c r="E33" s="51">
        <f>IFERROR(SUMPRODUCT((LEFT('OG T12'!$B$7:$B$226,LEN($B33))=$B33)*'OG T12'!$D$7:$P$226*(MONTH('OG T12'!$D$5:$P$5)=MONTH(E$6))*(YEAR('OG T12'!$D$5:$P$5)=YEAR(E$6))),0)</f>
        <v/>
      </c>
      <c r="F33" s="51">
        <f>IFERROR(SUMPRODUCT((LEFT('OG T12'!$B$7:$B$226,LEN($B33))=$B33)*'OG T12'!$D$7:$P$226*(MONTH('OG T12'!$D$5:$P$5)=MONTH(F$6))*(YEAR('OG T12'!$D$5:$P$5)=YEAR(F$6))),0)</f>
        <v/>
      </c>
      <c r="G33" s="51">
        <f>IFERROR(SUMPRODUCT((LEFT('OG T12'!$B$7:$B$226,LEN($B33))=$B33)*'OG T12'!$D$7:$P$226*(MONTH('OG T12'!$D$5:$P$5)=MONTH(G$6))*(YEAR('OG T12'!$D$5:$P$5)=YEAR(G$6))),0)</f>
        <v/>
      </c>
      <c r="H33" s="51">
        <f>IFERROR(SUMPRODUCT((LEFT('OG T12'!$B$7:$B$226,LEN($B33))=$B33)*'OG T12'!$D$7:$P$226*(MONTH('OG T12'!$D$5:$P$5)=MONTH(H$6))*(YEAR('OG T12'!$D$5:$P$5)=YEAR(H$6))),0)</f>
        <v/>
      </c>
      <c r="I33" s="51">
        <f>IFERROR(SUMPRODUCT((LEFT('OG T12'!$B$7:$B$226,LEN($B33))=$B33)*'OG T12'!$D$7:$P$226*(MONTH('OG T12'!$D$5:$P$5)=MONTH(I$6))*(YEAR('OG T12'!$D$5:$P$5)=YEAR(I$6))),0)</f>
        <v/>
      </c>
      <c r="J33" s="51">
        <f>IFERROR(SUMPRODUCT((LEFT('OG T12'!$B$7:$B$226,LEN($B33))=$B33)*'OG T12'!$D$7:$P$226*(MONTH('OG T12'!$D$5:$P$5)=MONTH(J$6))*(YEAR('OG T12'!$D$5:$P$5)=YEAR(J$6))),0)</f>
        <v/>
      </c>
      <c r="K33" s="51">
        <f>IFERROR(SUMPRODUCT((LEFT('OG T12'!$B$7:$B$226,LEN($B33))=$B33)*'OG T12'!$D$7:$P$226*(MONTH('OG T12'!$D$5:$P$5)=MONTH(K$6))*(YEAR('OG T12'!$D$5:$P$5)=YEAR(K$6))),0)</f>
        <v/>
      </c>
      <c r="L33" s="51">
        <f>IFERROR(SUMPRODUCT((LEFT('OG T12'!$B$7:$B$226,LEN($B33))=$B33)*'OG T12'!$D$7:$P$226*(MONTH('OG T12'!$D$5:$P$5)=MONTH(L$6))*(YEAR('OG T12'!$D$5:$P$5)=YEAR(L$6))),0)</f>
        <v/>
      </c>
      <c r="M33" s="51">
        <f>IFERROR(SUMPRODUCT((LEFT('OG T12'!$B$7:$B$226,LEN($B33))=$B33)*'OG T12'!$D$7:$P$226*(MONTH('OG T12'!$D$5:$P$5)=MONTH(M$6))*(YEAR('OG T12'!$D$5:$P$5)=YEAR(M$6))),0)</f>
        <v/>
      </c>
      <c r="N33" s="51">
        <f>IFERROR(SUMPRODUCT((LEFT('OG T12'!$B$7:$B$226,LEN($B33))=$B33)*'OG T12'!$D$7:$P$226*(MONTH('OG T12'!$D$5:$P$5)=MONTH(N$6))*(YEAR('OG T12'!$D$5:$P$5)=YEAR(N$6))),0)</f>
        <v/>
      </c>
      <c r="O33" s="51">
        <f>IFERROR(SUMPRODUCT((LEFT('OG T12'!$B$7:$B$226,LEN($B33))=$B33)*'OG T12'!$D$7:$P$226*(MONTH('OG T12'!$D$5:$P$5)=MONTH(O$6))*(YEAR('OG T12'!$D$5:$P$5)=YEAR(O$6))),0)</f>
        <v/>
      </c>
      <c r="P33" s="51">
        <f>IF(SUMPRODUCT((LEFT('OG T12'!$B$7:$B$226,LEN($B33))=$B33)*ISNUMBER('OG T12'!$R$7:$R$226)*('OG T12'!$R$7:$R$226&lt;&gt;0))&gt;0,SUMPRODUCT(--(LEFT('OG T12'!$B$7:$B$226,LEN($B33))=$B33),'OG T12'!$R$7:$R$226),IF(COUNT(D33:O33)&gt;0,SUM(D33:O33),0))</f>
        <v/>
      </c>
      <c r="Q33" s="51">
        <f>IF(COUNT(G33:O33)&gt;0,SUM(G33:O33)/9*12,0)</f>
        <v/>
      </c>
      <c r="R33" s="51">
        <f>IF(COUNT(J33:O33)&gt;0,SUM(J33:O33)/6*12,0)</f>
        <v/>
      </c>
      <c r="S33" s="51">
        <f>IF(COUNT(M33:O33)&gt;0,SUM(M33:O33)/3*12,0)</f>
        <v/>
      </c>
      <c r="T33" s="52" t="n"/>
      <c r="U33" s="51">
        <f>IF($U$6="T9",IF(COUNT(D33:O33)&gt;0,Q33,P33),IF($U$6="T6",IF(COUNT(D33:O33)&gt;0,R33,P33),IF($U$6="T3",IF(COUNT(D33:O33)&gt;0,S33,P33),P33)))+T33</f>
        <v/>
      </c>
      <c r="V33" s="53">
        <f>IFERROR($U33/'Summary &amp; Assumptions'!$C$11,0)</f>
        <v/>
      </c>
      <c r="W33" s="52" t="n"/>
      <c r="X33" s="9" t="n"/>
      <c r="Y33" s="51">
        <f>IF($W33="",$U33,IF($X33="Total $",$W33,IF($X33="/ unit",$W33*'Summary &amp; Assumptions'!$C$11,IF($X33="% of EGR",$W33*'P&amp;L'!$U$28,IF($X33="/ SF",$W33*'Summary &amp; Assumptions'!$C$16,IF($X33="% of historicals",$W33*$U33,IF($X33="$ / occ. unit",$W33*'Summary &amp; Assumptions'!$C$15,$W33)))))))</f>
        <v/>
      </c>
      <c r="Z33" s="51">
        <f>CHOOSE($AA$4,N(AB33),N(AD33),N(AF33),N(AH33),N(AJ33))</f>
        <v/>
      </c>
      <c r="AA33" s="1" t="n"/>
      <c r="AB33" s="54">
        <f>IF(SUMIFS($W$51:$W$65,$X$51:$X$65,$B33)&gt;0,SUMIFS($W$51:$W$65,$X$51:$X$65,$B33),Y33)</f>
        <v/>
      </c>
      <c r="AC33" s="53">
        <f>IFERROR(AB33/'Summary &amp; Assumptions'!$C$11,0)</f>
        <v/>
      </c>
      <c r="AD33" s="52" t="n">
        <v>0</v>
      </c>
      <c r="AE33" s="53">
        <f>IFERROR(AD33/'Summary &amp; Assumptions'!$C$11,0)</f>
        <v/>
      </c>
      <c r="AF33" s="52" t="n"/>
      <c r="AG33" s="53">
        <f>IFERROR(AF33/'Summary &amp; Assumptions'!$C$11,0)</f>
        <v/>
      </c>
      <c r="AH33" s="52" t="n"/>
      <c r="AI33" s="53">
        <f>IFERROR(AH33/'Summary &amp; Assumptions'!$C$11,0)</f>
        <v/>
      </c>
      <c r="AJ33" s="52" t="n"/>
      <c r="AK33" s="53">
        <f>IFERROR(AJ33/'Summary &amp; Assumptions'!$C$11,0)</f>
        <v/>
      </c>
      <c r="AL33" s="1" t="n"/>
      <c r="AM33" s="1" t="n"/>
      <c r="AN33" s="13" t="n"/>
      <c r="AO33" s="14" t="n"/>
      <c r="AP33" s="9" t="n"/>
    </row>
    <row r="34">
      <c r="A34" s="1" t="n"/>
      <c r="B34" s="8" t="inlineStr">
        <is>
          <t>Repairs and Maintenance</t>
        </is>
      </c>
      <c r="C34" s="1" t="n"/>
      <c r="D34" s="51">
        <f>IFERROR(SUMPRODUCT((LEFT('OG T12'!$B$7:$B$226,LEN($B34))=$B34)*'OG T12'!$D$7:$P$226*(MONTH('OG T12'!$D$5:$P$5)=MONTH(D$6))*(YEAR('OG T12'!$D$5:$P$5)=YEAR(D$6))),0)</f>
        <v/>
      </c>
      <c r="E34" s="51">
        <f>IFERROR(SUMPRODUCT((LEFT('OG T12'!$B$7:$B$226,LEN($B34))=$B34)*'OG T12'!$D$7:$P$226*(MONTH('OG T12'!$D$5:$P$5)=MONTH(E$6))*(YEAR('OG T12'!$D$5:$P$5)=YEAR(E$6))),0)</f>
        <v/>
      </c>
      <c r="F34" s="51">
        <f>IFERROR(SUMPRODUCT((LEFT('OG T12'!$B$7:$B$226,LEN($B34))=$B34)*'OG T12'!$D$7:$P$226*(MONTH('OG T12'!$D$5:$P$5)=MONTH(F$6))*(YEAR('OG T12'!$D$5:$P$5)=YEAR(F$6))),0)</f>
        <v/>
      </c>
      <c r="G34" s="51">
        <f>IFERROR(SUMPRODUCT((LEFT('OG T12'!$B$7:$B$226,LEN($B34))=$B34)*'OG T12'!$D$7:$P$226*(MONTH('OG T12'!$D$5:$P$5)=MONTH(G$6))*(YEAR('OG T12'!$D$5:$P$5)=YEAR(G$6))),0)</f>
        <v/>
      </c>
      <c r="H34" s="51">
        <f>IFERROR(SUMPRODUCT((LEFT('OG T12'!$B$7:$B$226,LEN($B34))=$B34)*'OG T12'!$D$7:$P$226*(MONTH('OG T12'!$D$5:$P$5)=MONTH(H$6))*(YEAR('OG T12'!$D$5:$P$5)=YEAR(H$6))),0)</f>
        <v/>
      </c>
      <c r="I34" s="51">
        <f>IFERROR(SUMPRODUCT((LEFT('OG T12'!$B$7:$B$226,LEN($B34))=$B34)*'OG T12'!$D$7:$P$226*(MONTH('OG T12'!$D$5:$P$5)=MONTH(I$6))*(YEAR('OG T12'!$D$5:$P$5)=YEAR(I$6))),0)</f>
        <v/>
      </c>
      <c r="J34" s="51">
        <f>IFERROR(SUMPRODUCT((LEFT('OG T12'!$B$7:$B$226,LEN($B34))=$B34)*'OG T12'!$D$7:$P$226*(MONTH('OG T12'!$D$5:$P$5)=MONTH(J$6))*(YEAR('OG T12'!$D$5:$P$5)=YEAR(J$6))),0)</f>
        <v/>
      </c>
      <c r="K34" s="51">
        <f>IFERROR(SUMPRODUCT((LEFT('OG T12'!$B$7:$B$226,LEN($B34))=$B34)*'OG T12'!$D$7:$P$226*(MONTH('OG T12'!$D$5:$P$5)=MONTH(K$6))*(YEAR('OG T12'!$D$5:$P$5)=YEAR(K$6))),0)</f>
        <v/>
      </c>
      <c r="L34" s="51">
        <f>IFERROR(SUMPRODUCT((LEFT('OG T12'!$B$7:$B$226,LEN($B34))=$B34)*'OG T12'!$D$7:$P$226*(MONTH('OG T12'!$D$5:$P$5)=MONTH(L$6))*(YEAR('OG T12'!$D$5:$P$5)=YEAR(L$6))),0)</f>
        <v/>
      </c>
      <c r="M34" s="51">
        <f>IFERROR(SUMPRODUCT((LEFT('OG T12'!$B$7:$B$226,LEN($B34))=$B34)*'OG T12'!$D$7:$P$226*(MONTH('OG T12'!$D$5:$P$5)=MONTH(M$6))*(YEAR('OG T12'!$D$5:$P$5)=YEAR(M$6))),0)</f>
        <v/>
      </c>
      <c r="N34" s="51">
        <f>IFERROR(SUMPRODUCT((LEFT('OG T12'!$B$7:$B$226,LEN($B34))=$B34)*'OG T12'!$D$7:$P$226*(MONTH('OG T12'!$D$5:$P$5)=MONTH(N$6))*(YEAR('OG T12'!$D$5:$P$5)=YEAR(N$6))),0)</f>
        <v/>
      </c>
      <c r="O34" s="51">
        <f>IFERROR(SUMPRODUCT((LEFT('OG T12'!$B$7:$B$226,LEN($B34))=$B34)*'OG T12'!$D$7:$P$226*(MONTH('OG T12'!$D$5:$P$5)=MONTH(O$6))*(YEAR('OG T12'!$D$5:$P$5)=YEAR(O$6))),0)</f>
        <v/>
      </c>
      <c r="P34" s="51">
        <f>IF(SUMPRODUCT((LEFT('OG T12'!$B$7:$B$226,LEN($B34))=$B34)*ISNUMBER('OG T12'!$R$7:$R$226)*('OG T12'!$R$7:$R$226&lt;&gt;0))&gt;0,SUMPRODUCT(--(LEFT('OG T12'!$B$7:$B$226,LEN($B34))=$B34),'OG T12'!$R$7:$R$226),IF(COUNT(D34:O34)&gt;0,SUM(D34:O34),0))</f>
        <v/>
      </c>
      <c r="Q34" s="51">
        <f>IF(COUNT(G34:O34)&gt;0,SUM(G34:O34)/9*12,0)</f>
        <v/>
      </c>
      <c r="R34" s="51">
        <f>IF(COUNT(J34:O34)&gt;0,SUM(J34:O34)/6*12,0)</f>
        <v/>
      </c>
      <c r="S34" s="51">
        <f>IF(COUNT(M34:O34)&gt;0,SUM(M34:O34)/3*12,0)</f>
        <v/>
      </c>
      <c r="T34" s="52" t="n"/>
      <c r="U34" s="51">
        <f>IF($U$6="T9",IF(COUNT(D34:O34)&gt;0,Q34,P34),IF($U$6="T6",IF(COUNT(D34:O34)&gt;0,R34,P34),IF($U$6="T3",IF(COUNT(D34:O34)&gt;0,S34,P34),P34)))+T34</f>
        <v/>
      </c>
      <c r="V34" s="53">
        <f>IFERROR($U34/'Summary &amp; Assumptions'!$C$11,0)</f>
        <v/>
      </c>
      <c r="W34" s="52" t="n"/>
      <c r="X34" s="9" t="n"/>
      <c r="Y34" s="51">
        <f>IF($W34="",$U34,IF($X34="Total $",$W34,IF($X34="/ unit",$W34*'Summary &amp; Assumptions'!$C$11,IF($X34="% of EGR",$W34*'P&amp;L'!$U$28,IF($X34="/ SF",$W34*'Summary &amp; Assumptions'!$C$16,IF($X34="% of historicals",$W34*$U34,IF($X34="$ / occ. unit",$W34*'Summary &amp; Assumptions'!$C$15,$W34)))))))</f>
        <v/>
      </c>
      <c r="Z34" s="51">
        <f>CHOOSE($AA$4,N(AB34),N(AD34),N(AF34),N(AH34),N(AJ34))</f>
        <v/>
      </c>
      <c r="AA34" s="1" t="n"/>
      <c r="AB34" s="54">
        <f>IF(SUMIFS($W$51:$W$65,$X$51:$X$65,$B34)&gt;0,SUMIFS($W$51:$W$65,$X$51:$X$65,$B34),Y34+SUM(Y35:Y37)-SUM(U35:U37))</f>
        <v/>
      </c>
      <c r="AC34" s="53">
        <f>IFERROR(AB34/'Summary &amp; Assumptions'!$C$11,0)</f>
        <v/>
      </c>
      <c r="AD34" s="52" t="n">
        <v>0</v>
      </c>
      <c r="AE34" s="53">
        <f>IFERROR(AD34/'Summary &amp; Assumptions'!$C$11,0)</f>
        <v/>
      </c>
      <c r="AF34" s="52" t="n"/>
      <c r="AG34" s="53">
        <f>IFERROR(AF34/'Summary &amp; Assumptions'!$C$11,0)</f>
        <v/>
      </c>
      <c r="AH34" s="52" t="n"/>
      <c r="AI34" s="53">
        <f>IFERROR(AH34/'Summary &amp; Assumptions'!$C$11,0)</f>
        <v/>
      </c>
      <c r="AJ34" s="52" t="n"/>
      <c r="AK34" s="53">
        <f>IFERROR(AJ34/'Summary &amp; Assumptions'!$C$11,0)</f>
        <v/>
      </c>
      <c r="AL34" s="1" t="n"/>
      <c r="AM34" s="1" t="n"/>
      <c r="AN34" s="13" t="n"/>
      <c r="AO34" s="14" t="n"/>
      <c r="AP34" s="9" t="n"/>
    </row>
    <row r="35" hidden="1" outlineLevel="1">
      <c r="A35" s="1" t="n"/>
      <c r="B35" s="3" t="inlineStr">
        <is>
          <t>Repairs and Maintenance - General</t>
        </is>
      </c>
      <c r="C35" s="1" t="n"/>
      <c r="D35" s="51">
        <f>IFERROR(SUMPRODUCT((LEFT('OG T12'!$B$7:$B$226,LEN($B35))=$B35)*'OG T12'!$D$7:$P$226*(MONTH('OG T12'!$D$5:$P$5)=MONTH(D$6))*(YEAR('OG T12'!$D$5:$P$5)=YEAR(D$6))),0)</f>
        <v/>
      </c>
      <c r="E35" s="51">
        <f>IFERROR(SUMPRODUCT((LEFT('OG T12'!$B$7:$B$226,LEN($B35))=$B35)*'OG T12'!$D$7:$P$226*(MONTH('OG T12'!$D$5:$P$5)=MONTH(E$6))*(YEAR('OG T12'!$D$5:$P$5)=YEAR(E$6))),0)</f>
        <v/>
      </c>
      <c r="F35" s="51">
        <f>IFERROR(SUMPRODUCT((LEFT('OG T12'!$B$7:$B$226,LEN($B35))=$B35)*'OG T12'!$D$7:$P$226*(MONTH('OG T12'!$D$5:$P$5)=MONTH(F$6))*(YEAR('OG T12'!$D$5:$P$5)=YEAR(F$6))),0)</f>
        <v/>
      </c>
      <c r="G35" s="51">
        <f>IFERROR(SUMPRODUCT((LEFT('OG T12'!$B$7:$B$226,LEN($B35))=$B35)*'OG T12'!$D$7:$P$226*(MONTH('OG T12'!$D$5:$P$5)=MONTH(G$6))*(YEAR('OG T12'!$D$5:$P$5)=YEAR(G$6))),0)</f>
        <v/>
      </c>
      <c r="H35" s="51">
        <f>IFERROR(SUMPRODUCT((LEFT('OG T12'!$B$7:$B$226,LEN($B35))=$B35)*'OG T12'!$D$7:$P$226*(MONTH('OG T12'!$D$5:$P$5)=MONTH(H$6))*(YEAR('OG T12'!$D$5:$P$5)=YEAR(H$6))),0)</f>
        <v/>
      </c>
      <c r="I35" s="51">
        <f>IFERROR(SUMPRODUCT((LEFT('OG T12'!$B$7:$B$226,LEN($B35))=$B35)*'OG T12'!$D$7:$P$226*(MONTH('OG T12'!$D$5:$P$5)=MONTH(I$6))*(YEAR('OG T12'!$D$5:$P$5)=YEAR(I$6))),0)</f>
        <v/>
      </c>
      <c r="J35" s="51">
        <f>IFERROR(SUMPRODUCT((LEFT('OG T12'!$B$7:$B$226,LEN($B35))=$B35)*'OG T12'!$D$7:$P$226*(MONTH('OG T12'!$D$5:$P$5)=MONTH(J$6))*(YEAR('OG T12'!$D$5:$P$5)=YEAR(J$6))),0)</f>
        <v/>
      </c>
      <c r="K35" s="51">
        <f>IFERROR(SUMPRODUCT((LEFT('OG T12'!$B$7:$B$226,LEN($B35))=$B35)*'OG T12'!$D$7:$P$226*(MONTH('OG T12'!$D$5:$P$5)=MONTH(K$6))*(YEAR('OG T12'!$D$5:$P$5)=YEAR(K$6))),0)</f>
        <v/>
      </c>
      <c r="L35" s="51">
        <f>IFERROR(SUMPRODUCT((LEFT('OG T12'!$B$7:$B$226,LEN($B35))=$B35)*'OG T12'!$D$7:$P$226*(MONTH('OG T12'!$D$5:$P$5)=MONTH(L$6))*(YEAR('OG T12'!$D$5:$P$5)=YEAR(L$6))),0)</f>
        <v/>
      </c>
      <c r="M35" s="51">
        <f>IFERROR(SUMPRODUCT((LEFT('OG T12'!$B$7:$B$226,LEN($B35))=$B35)*'OG T12'!$D$7:$P$226*(MONTH('OG T12'!$D$5:$P$5)=MONTH(M$6))*(YEAR('OG T12'!$D$5:$P$5)=YEAR(M$6))),0)</f>
        <v/>
      </c>
      <c r="N35" s="51">
        <f>IFERROR(SUMPRODUCT((LEFT('OG T12'!$B$7:$B$226,LEN($B35))=$B35)*'OG T12'!$D$7:$P$226*(MONTH('OG T12'!$D$5:$P$5)=MONTH(N$6))*(YEAR('OG T12'!$D$5:$P$5)=YEAR(N$6))),0)</f>
        <v/>
      </c>
      <c r="O35" s="51">
        <f>IFERROR(SUMPRODUCT((LEFT('OG T12'!$B$7:$B$226,LEN($B35))=$B35)*'OG T12'!$D$7:$P$226*(MONTH('OG T12'!$D$5:$P$5)=MONTH(O$6))*(YEAR('OG T12'!$D$5:$P$5)=YEAR(O$6))),0)</f>
        <v/>
      </c>
      <c r="P35" s="51">
        <f>IF(SUMPRODUCT((LEFT('OG T12'!$B$7:$B$226,LEN($B35))=$B35)*ISNUMBER('OG T12'!$R$7:$R$226)*('OG T12'!$R$7:$R$226&lt;&gt;0))&gt;0,SUMPRODUCT(--(LEFT('OG T12'!$B$7:$B$226,LEN($B35))=$B35),'OG T12'!$R$7:$R$226),IF(COUNT(D35:O35)&gt;0,SUM(D35:O35),0))</f>
        <v/>
      </c>
      <c r="Q35" s="51">
        <f>IF(COUNT(G35:O35)&gt;0,SUM(G35:O35)/9*12,0)</f>
        <v/>
      </c>
      <c r="R35" s="51">
        <f>IF(COUNT(J35:O35)&gt;0,SUM(J35:O35)/6*12,0)</f>
        <v/>
      </c>
      <c r="S35" s="51">
        <f>IF(COUNT(M35:O35)&gt;0,SUM(M35:O35)/3*12,0)</f>
        <v/>
      </c>
      <c r="T35" s="52" t="n"/>
      <c r="U35" s="51">
        <f>IF($U$6="T9",IF(COUNT(D35:O35)&gt;0,Q35,P35),IF($U$6="T6",IF(COUNT(D35:O35)&gt;0,R35,P35),IF($U$6="T3",IF(COUNT(D35:O35)&gt;0,S35,P35),P35)))+T35</f>
        <v/>
      </c>
      <c r="V35" s="53">
        <f>IFERROR($U35/'Summary &amp; Assumptions'!$C$11,0)</f>
        <v/>
      </c>
      <c r="W35" s="52" t="n"/>
      <c r="X35" s="9" t="n"/>
      <c r="Y35" s="51">
        <f>IF($W35="",$U35,$W35)</f>
        <v/>
      </c>
      <c r="Z35" s="51">
        <f>CHOOSE($AA$4,N(AB35),N(AD35),N(AF35),N(AH35),N(AJ35))</f>
        <v/>
      </c>
      <c r="AA35" s="1" t="n"/>
      <c r="AB35" s="54">
        <f>Y35</f>
        <v/>
      </c>
      <c r="AC35" s="53">
        <f>IFERROR(AB35/'Summary &amp; Assumptions'!$C$11,0)</f>
        <v/>
      </c>
      <c r="AD35" s="52" t="n">
        <v>0</v>
      </c>
      <c r="AE35" s="53">
        <f>IFERROR(AD35/'Summary &amp; Assumptions'!$C$11,0)</f>
        <v/>
      </c>
      <c r="AF35" s="52" t="n"/>
      <c r="AG35" s="53">
        <f>IFERROR(AF35/'Summary &amp; Assumptions'!$C$11,0)</f>
        <v/>
      </c>
      <c r="AH35" s="52" t="n"/>
      <c r="AI35" s="53">
        <f>IFERROR(AH35/'Summary &amp; Assumptions'!$C$11,0)</f>
        <v/>
      </c>
      <c r="AJ35" s="52" t="n"/>
      <c r="AK35" s="53">
        <f>IFERROR(AJ35/'Summary &amp; Assumptions'!$C$11,0)</f>
        <v/>
      </c>
      <c r="AL35" s="1" t="n"/>
      <c r="AM35" s="1" t="n"/>
      <c r="AN35" s="13" t="n"/>
      <c r="AO35" s="14" t="n"/>
      <c r="AP35" s="9" t="n"/>
    </row>
    <row r="36" hidden="1" outlineLevel="1">
      <c r="A36" s="1" t="n"/>
      <c r="B36" s="3" t="inlineStr">
        <is>
          <t>Repairs and Maintenance - Contract Services</t>
        </is>
      </c>
      <c r="C36" s="1" t="n"/>
      <c r="D36" s="51">
        <f>IFERROR(SUMPRODUCT((LEFT('OG T12'!$B$7:$B$226,LEN($B36))=$B36)*'OG T12'!$D$7:$P$226*(MONTH('OG T12'!$D$5:$P$5)=MONTH(D$6))*(YEAR('OG T12'!$D$5:$P$5)=YEAR(D$6))),0)</f>
        <v/>
      </c>
      <c r="E36" s="51">
        <f>IFERROR(SUMPRODUCT((LEFT('OG T12'!$B$7:$B$226,LEN($B36))=$B36)*'OG T12'!$D$7:$P$226*(MONTH('OG T12'!$D$5:$P$5)=MONTH(E$6))*(YEAR('OG T12'!$D$5:$P$5)=YEAR(E$6))),0)</f>
        <v/>
      </c>
      <c r="F36" s="51">
        <f>IFERROR(SUMPRODUCT((LEFT('OG T12'!$B$7:$B$226,LEN($B36))=$B36)*'OG T12'!$D$7:$P$226*(MONTH('OG T12'!$D$5:$P$5)=MONTH(F$6))*(YEAR('OG T12'!$D$5:$P$5)=YEAR(F$6))),0)</f>
        <v/>
      </c>
      <c r="G36" s="51">
        <f>IFERROR(SUMPRODUCT((LEFT('OG T12'!$B$7:$B$226,LEN($B36))=$B36)*'OG T12'!$D$7:$P$226*(MONTH('OG T12'!$D$5:$P$5)=MONTH(G$6))*(YEAR('OG T12'!$D$5:$P$5)=YEAR(G$6))),0)</f>
        <v/>
      </c>
      <c r="H36" s="51">
        <f>IFERROR(SUMPRODUCT((LEFT('OG T12'!$B$7:$B$226,LEN($B36))=$B36)*'OG T12'!$D$7:$P$226*(MONTH('OG T12'!$D$5:$P$5)=MONTH(H$6))*(YEAR('OG T12'!$D$5:$P$5)=YEAR(H$6))),0)</f>
        <v/>
      </c>
      <c r="I36" s="51">
        <f>IFERROR(SUMPRODUCT((LEFT('OG T12'!$B$7:$B$226,LEN($B36))=$B36)*'OG T12'!$D$7:$P$226*(MONTH('OG T12'!$D$5:$P$5)=MONTH(I$6))*(YEAR('OG T12'!$D$5:$P$5)=YEAR(I$6))),0)</f>
        <v/>
      </c>
      <c r="J36" s="51">
        <f>IFERROR(SUMPRODUCT((LEFT('OG T12'!$B$7:$B$226,LEN($B36))=$B36)*'OG T12'!$D$7:$P$226*(MONTH('OG T12'!$D$5:$P$5)=MONTH(J$6))*(YEAR('OG T12'!$D$5:$P$5)=YEAR(J$6))),0)</f>
        <v/>
      </c>
      <c r="K36" s="51">
        <f>IFERROR(SUMPRODUCT((LEFT('OG T12'!$B$7:$B$226,LEN($B36))=$B36)*'OG T12'!$D$7:$P$226*(MONTH('OG T12'!$D$5:$P$5)=MONTH(K$6))*(YEAR('OG T12'!$D$5:$P$5)=YEAR(K$6))),0)</f>
        <v/>
      </c>
      <c r="L36" s="51">
        <f>IFERROR(SUMPRODUCT((LEFT('OG T12'!$B$7:$B$226,LEN($B36))=$B36)*'OG T12'!$D$7:$P$226*(MONTH('OG T12'!$D$5:$P$5)=MONTH(L$6))*(YEAR('OG T12'!$D$5:$P$5)=YEAR(L$6))),0)</f>
        <v/>
      </c>
      <c r="M36" s="51">
        <f>IFERROR(SUMPRODUCT((LEFT('OG T12'!$B$7:$B$226,LEN($B36))=$B36)*'OG T12'!$D$7:$P$226*(MONTH('OG T12'!$D$5:$P$5)=MONTH(M$6))*(YEAR('OG T12'!$D$5:$P$5)=YEAR(M$6))),0)</f>
        <v/>
      </c>
      <c r="N36" s="51">
        <f>IFERROR(SUMPRODUCT((LEFT('OG T12'!$B$7:$B$226,LEN($B36))=$B36)*'OG T12'!$D$7:$P$226*(MONTH('OG T12'!$D$5:$P$5)=MONTH(N$6))*(YEAR('OG T12'!$D$5:$P$5)=YEAR(N$6))),0)</f>
        <v/>
      </c>
      <c r="O36" s="51">
        <f>IFERROR(SUMPRODUCT((LEFT('OG T12'!$B$7:$B$226,LEN($B36))=$B36)*'OG T12'!$D$7:$P$226*(MONTH('OG T12'!$D$5:$P$5)=MONTH(O$6))*(YEAR('OG T12'!$D$5:$P$5)=YEAR(O$6))),0)</f>
        <v/>
      </c>
      <c r="P36" s="51">
        <f>IF(SUMPRODUCT((LEFT('OG T12'!$B$7:$B$226,LEN($B36))=$B36)*ISNUMBER('OG T12'!$R$7:$R$226)*('OG T12'!$R$7:$R$226&lt;&gt;0))&gt;0,SUMPRODUCT(--(LEFT('OG T12'!$B$7:$B$226,LEN($B36))=$B36),'OG T12'!$R$7:$R$226),IF(COUNT(D36:O36)&gt;0,SUM(D36:O36),0))</f>
        <v/>
      </c>
      <c r="Q36" s="51">
        <f>IF(COUNT(G36:O36)&gt;0,SUM(G36:O36)/9*12,0)</f>
        <v/>
      </c>
      <c r="R36" s="51">
        <f>IF(COUNT(J36:O36)&gt;0,SUM(J36:O36)/6*12,0)</f>
        <v/>
      </c>
      <c r="S36" s="51">
        <f>IF(COUNT(M36:O36)&gt;0,SUM(M36:O36)/3*12,0)</f>
        <v/>
      </c>
      <c r="T36" s="52" t="n"/>
      <c r="U36" s="51">
        <f>IF($U$6="T9",IF(COUNT(D36:O36)&gt;0,Q36,P36),IF($U$6="T6",IF(COUNT(D36:O36)&gt;0,R36,P36),IF($U$6="T3",IF(COUNT(D36:O36)&gt;0,S36,P36),P36)))+T36</f>
        <v/>
      </c>
      <c r="V36" s="53">
        <f>IFERROR($U36/'Summary &amp; Assumptions'!$C$11,0)</f>
        <v/>
      </c>
      <c r="W36" s="52" t="n"/>
      <c r="X36" s="9" t="n"/>
      <c r="Y36" s="51">
        <f>IF($W36="",$U36,$W36)</f>
        <v/>
      </c>
      <c r="Z36" s="51">
        <f>CHOOSE($AA$4,N(AB36),N(AD36),N(AF36),N(AH36),N(AJ36))</f>
        <v/>
      </c>
      <c r="AA36" s="1" t="n"/>
      <c r="AB36" s="54">
        <f>Y36</f>
        <v/>
      </c>
      <c r="AC36" s="53">
        <f>IFERROR(AB36/'Summary &amp; Assumptions'!$C$11,0)</f>
        <v/>
      </c>
      <c r="AD36" s="52" t="n">
        <v>0</v>
      </c>
      <c r="AE36" s="53">
        <f>IFERROR(AD36/'Summary &amp; Assumptions'!$C$11,0)</f>
        <v/>
      </c>
      <c r="AF36" s="52" t="n"/>
      <c r="AG36" s="53">
        <f>IFERROR(AF36/'Summary &amp; Assumptions'!$C$11,0)</f>
        <v/>
      </c>
      <c r="AH36" s="52" t="n"/>
      <c r="AI36" s="53">
        <f>IFERROR(AH36/'Summary &amp; Assumptions'!$C$11,0)</f>
        <v/>
      </c>
      <c r="AJ36" s="52" t="n"/>
      <c r="AK36" s="53">
        <f>IFERROR(AJ36/'Summary &amp; Assumptions'!$C$11,0)</f>
        <v/>
      </c>
      <c r="AL36" s="1" t="n"/>
      <c r="AM36" s="1" t="n"/>
      <c r="AN36" s="13" t="n"/>
      <c r="AO36" s="14" t="n"/>
      <c r="AP36" s="9" t="n"/>
    </row>
    <row r="37" hidden="1" outlineLevel="1">
      <c r="A37" s="1" t="n"/>
      <c r="B37" s="3" t="inlineStr">
        <is>
          <t>Repairs and Maintenance - Turnover</t>
        </is>
      </c>
      <c r="C37" s="1" t="n"/>
      <c r="D37" s="51">
        <f>IFERROR(SUMPRODUCT((LEFT('OG T12'!$B$7:$B$226,LEN($B37))=$B37)*'OG T12'!$D$7:$P$226*(MONTH('OG T12'!$D$5:$P$5)=MONTH(D$6))*(YEAR('OG T12'!$D$5:$P$5)=YEAR(D$6))),0)</f>
        <v/>
      </c>
      <c r="E37" s="51">
        <f>IFERROR(SUMPRODUCT((LEFT('OG T12'!$B$7:$B$226,LEN($B37))=$B37)*'OG T12'!$D$7:$P$226*(MONTH('OG T12'!$D$5:$P$5)=MONTH(E$6))*(YEAR('OG T12'!$D$5:$P$5)=YEAR(E$6))),0)</f>
        <v/>
      </c>
      <c r="F37" s="51">
        <f>IFERROR(SUMPRODUCT((LEFT('OG T12'!$B$7:$B$226,LEN($B37))=$B37)*'OG T12'!$D$7:$P$226*(MONTH('OG T12'!$D$5:$P$5)=MONTH(F$6))*(YEAR('OG T12'!$D$5:$P$5)=YEAR(F$6))),0)</f>
        <v/>
      </c>
      <c r="G37" s="51">
        <f>IFERROR(SUMPRODUCT((LEFT('OG T12'!$B$7:$B$226,LEN($B37))=$B37)*'OG T12'!$D$7:$P$226*(MONTH('OG T12'!$D$5:$P$5)=MONTH(G$6))*(YEAR('OG T12'!$D$5:$P$5)=YEAR(G$6))),0)</f>
        <v/>
      </c>
      <c r="H37" s="51">
        <f>IFERROR(SUMPRODUCT((LEFT('OG T12'!$B$7:$B$226,LEN($B37))=$B37)*'OG T12'!$D$7:$P$226*(MONTH('OG T12'!$D$5:$P$5)=MONTH(H$6))*(YEAR('OG T12'!$D$5:$P$5)=YEAR(H$6))),0)</f>
        <v/>
      </c>
      <c r="I37" s="51">
        <f>IFERROR(SUMPRODUCT((LEFT('OG T12'!$B$7:$B$226,LEN($B37))=$B37)*'OG T12'!$D$7:$P$226*(MONTH('OG T12'!$D$5:$P$5)=MONTH(I$6))*(YEAR('OG T12'!$D$5:$P$5)=YEAR(I$6))),0)</f>
        <v/>
      </c>
      <c r="J37" s="51">
        <f>IFERROR(SUMPRODUCT((LEFT('OG T12'!$B$7:$B$226,LEN($B37))=$B37)*'OG T12'!$D$7:$P$226*(MONTH('OG T12'!$D$5:$P$5)=MONTH(J$6))*(YEAR('OG T12'!$D$5:$P$5)=YEAR(J$6))),0)</f>
        <v/>
      </c>
      <c r="K37" s="51">
        <f>IFERROR(SUMPRODUCT((LEFT('OG T12'!$B$7:$B$226,LEN($B37))=$B37)*'OG T12'!$D$7:$P$226*(MONTH('OG T12'!$D$5:$P$5)=MONTH(K$6))*(YEAR('OG T12'!$D$5:$P$5)=YEAR(K$6))),0)</f>
        <v/>
      </c>
      <c r="L37" s="51">
        <f>IFERROR(SUMPRODUCT((LEFT('OG T12'!$B$7:$B$226,LEN($B37))=$B37)*'OG T12'!$D$7:$P$226*(MONTH('OG T12'!$D$5:$P$5)=MONTH(L$6))*(YEAR('OG T12'!$D$5:$P$5)=YEAR(L$6))),0)</f>
        <v/>
      </c>
      <c r="M37" s="51">
        <f>IFERROR(SUMPRODUCT((LEFT('OG T12'!$B$7:$B$226,LEN($B37))=$B37)*'OG T12'!$D$7:$P$226*(MONTH('OG T12'!$D$5:$P$5)=MONTH(M$6))*(YEAR('OG T12'!$D$5:$P$5)=YEAR(M$6))),0)</f>
        <v/>
      </c>
      <c r="N37" s="51">
        <f>IFERROR(SUMPRODUCT((LEFT('OG T12'!$B$7:$B$226,LEN($B37))=$B37)*'OG T12'!$D$7:$P$226*(MONTH('OG T12'!$D$5:$P$5)=MONTH(N$6))*(YEAR('OG T12'!$D$5:$P$5)=YEAR(N$6))),0)</f>
        <v/>
      </c>
      <c r="O37" s="51">
        <f>IFERROR(SUMPRODUCT((LEFT('OG T12'!$B$7:$B$226,LEN($B37))=$B37)*'OG T12'!$D$7:$P$226*(MONTH('OG T12'!$D$5:$P$5)=MONTH(O$6))*(YEAR('OG T12'!$D$5:$P$5)=YEAR(O$6))),0)</f>
        <v/>
      </c>
      <c r="P37" s="51">
        <f>IF(SUMPRODUCT((LEFT('OG T12'!$B$7:$B$226,LEN($B37))=$B37)*ISNUMBER('OG T12'!$R$7:$R$226)*('OG T12'!$R$7:$R$226&lt;&gt;0))&gt;0,SUMPRODUCT(--(LEFT('OG T12'!$B$7:$B$226,LEN($B37))=$B37),'OG T12'!$R$7:$R$226),IF(COUNT(D37:O37)&gt;0,SUM(D37:O37),0))</f>
        <v/>
      </c>
      <c r="Q37" s="51">
        <f>IF(COUNT(G37:O37)&gt;0,SUM(G37:O37)/9*12,0)</f>
        <v/>
      </c>
      <c r="R37" s="51">
        <f>IF(COUNT(J37:O37)&gt;0,SUM(J37:O37)/6*12,0)</f>
        <v/>
      </c>
      <c r="S37" s="51">
        <f>IF(COUNT(M37:O37)&gt;0,SUM(M37:O37)/3*12,0)</f>
        <v/>
      </c>
      <c r="T37" s="52" t="n"/>
      <c r="U37" s="51">
        <f>IF($U$6="T9",IF(COUNT(D37:O37)&gt;0,Q37,P37),IF($U$6="T6",IF(COUNT(D37:O37)&gt;0,R37,P37),IF($U$6="T3",IF(COUNT(D37:O37)&gt;0,S37,P37),P37)))+T37</f>
        <v/>
      </c>
      <c r="V37" s="53">
        <f>IFERROR($U37/'Summary &amp; Assumptions'!$C$11,0)</f>
        <v/>
      </c>
      <c r="W37" s="52" t="n"/>
      <c r="X37" s="9" t="n"/>
      <c r="Y37" s="51">
        <f>IF($W37="",$U37,$W37)</f>
        <v/>
      </c>
      <c r="Z37" s="51">
        <f>CHOOSE($AA$4,N(AB37),N(AD37),N(AF37),N(AH37),N(AJ37))</f>
        <v/>
      </c>
      <c r="AA37" s="1" t="n"/>
      <c r="AB37" s="54">
        <f>Y37</f>
        <v/>
      </c>
      <c r="AC37" s="53">
        <f>IFERROR(AB37/'Summary &amp; Assumptions'!$C$11,0)</f>
        <v/>
      </c>
      <c r="AD37" s="52" t="n">
        <v>0</v>
      </c>
      <c r="AE37" s="53">
        <f>IFERROR(AD37/'Summary &amp; Assumptions'!$C$11,0)</f>
        <v/>
      </c>
      <c r="AF37" s="52" t="n"/>
      <c r="AG37" s="53">
        <f>IFERROR(AF37/'Summary &amp; Assumptions'!$C$11,0)</f>
        <v/>
      </c>
      <c r="AH37" s="52" t="n"/>
      <c r="AI37" s="53">
        <f>IFERROR(AH37/'Summary &amp; Assumptions'!$C$11,0)</f>
        <v/>
      </c>
      <c r="AJ37" s="52" t="n"/>
      <c r="AK37" s="53">
        <f>IFERROR(AJ37/'Summary &amp; Assumptions'!$C$11,0)</f>
        <v/>
      </c>
      <c r="AL37" s="1" t="n"/>
      <c r="AM37" s="1" t="n"/>
      <c r="AN37" s="13" t="n"/>
      <c r="AO37" s="14" t="n"/>
      <c r="AP37" s="9" t="n"/>
    </row>
    <row r="38">
      <c r="A38" s="1" t="n"/>
      <c r="B38" s="8" t="inlineStr">
        <is>
          <t>Utilities</t>
        </is>
      </c>
      <c r="C38" s="1" t="n"/>
      <c r="D38" s="51">
        <f>IFERROR(SUMPRODUCT((LEFT('OG T12'!$B$7:$B$226,LEN($B38))=$B38)*'OG T12'!$D$7:$P$226*(MONTH('OG T12'!$D$5:$P$5)=MONTH(D$6))*(YEAR('OG T12'!$D$5:$P$5)=YEAR(D$6))),0)</f>
        <v/>
      </c>
      <c r="E38" s="51">
        <f>IFERROR(SUMPRODUCT((LEFT('OG T12'!$B$7:$B$226,LEN($B38))=$B38)*'OG T12'!$D$7:$P$226*(MONTH('OG T12'!$D$5:$P$5)=MONTH(E$6))*(YEAR('OG T12'!$D$5:$P$5)=YEAR(E$6))),0)</f>
        <v/>
      </c>
      <c r="F38" s="51">
        <f>IFERROR(SUMPRODUCT((LEFT('OG T12'!$B$7:$B$226,LEN($B38))=$B38)*'OG T12'!$D$7:$P$226*(MONTH('OG T12'!$D$5:$P$5)=MONTH(F$6))*(YEAR('OG T12'!$D$5:$P$5)=YEAR(F$6))),0)</f>
        <v/>
      </c>
      <c r="G38" s="51">
        <f>IFERROR(SUMPRODUCT((LEFT('OG T12'!$B$7:$B$226,LEN($B38))=$B38)*'OG T12'!$D$7:$P$226*(MONTH('OG T12'!$D$5:$P$5)=MONTH(G$6))*(YEAR('OG T12'!$D$5:$P$5)=YEAR(G$6))),0)</f>
        <v/>
      </c>
      <c r="H38" s="51">
        <f>IFERROR(SUMPRODUCT((LEFT('OG T12'!$B$7:$B$226,LEN($B38))=$B38)*'OG T12'!$D$7:$P$226*(MONTH('OG T12'!$D$5:$P$5)=MONTH(H$6))*(YEAR('OG T12'!$D$5:$P$5)=YEAR(H$6))),0)</f>
        <v/>
      </c>
      <c r="I38" s="51">
        <f>IFERROR(SUMPRODUCT((LEFT('OG T12'!$B$7:$B$226,LEN($B38))=$B38)*'OG T12'!$D$7:$P$226*(MONTH('OG T12'!$D$5:$P$5)=MONTH(I$6))*(YEAR('OG T12'!$D$5:$P$5)=YEAR(I$6))),0)</f>
        <v/>
      </c>
      <c r="J38" s="51">
        <f>IFERROR(SUMPRODUCT((LEFT('OG T12'!$B$7:$B$226,LEN($B38))=$B38)*'OG T12'!$D$7:$P$226*(MONTH('OG T12'!$D$5:$P$5)=MONTH(J$6))*(YEAR('OG T12'!$D$5:$P$5)=YEAR(J$6))),0)</f>
        <v/>
      </c>
      <c r="K38" s="51">
        <f>IFERROR(SUMPRODUCT((LEFT('OG T12'!$B$7:$B$226,LEN($B38))=$B38)*'OG T12'!$D$7:$P$226*(MONTH('OG T12'!$D$5:$P$5)=MONTH(K$6))*(YEAR('OG T12'!$D$5:$P$5)=YEAR(K$6))),0)</f>
        <v/>
      </c>
      <c r="L38" s="51">
        <f>IFERROR(SUMPRODUCT((LEFT('OG T12'!$B$7:$B$226,LEN($B38))=$B38)*'OG T12'!$D$7:$P$226*(MONTH('OG T12'!$D$5:$P$5)=MONTH(L$6))*(YEAR('OG T12'!$D$5:$P$5)=YEAR(L$6))),0)</f>
        <v/>
      </c>
      <c r="M38" s="51">
        <f>IFERROR(SUMPRODUCT((LEFT('OG T12'!$B$7:$B$226,LEN($B38))=$B38)*'OG T12'!$D$7:$P$226*(MONTH('OG T12'!$D$5:$P$5)=MONTH(M$6))*(YEAR('OG T12'!$D$5:$P$5)=YEAR(M$6))),0)</f>
        <v/>
      </c>
      <c r="N38" s="51">
        <f>IFERROR(SUMPRODUCT((LEFT('OG T12'!$B$7:$B$226,LEN($B38))=$B38)*'OG T12'!$D$7:$P$226*(MONTH('OG T12'!$D$5:$P$5)=MONTH(N$6))*(YEAR('OG T12'!$D$5:$P$5)=YEAR(N$6))),0)</f>
        <v/>
      </c>
      <c r="O38" s="51">
        <f>IFERROR(SUMPRODUCT((LEFT('OG T12'!$B$7:$B$226,LEN($B38))=$B38)*'OG T12'!$D$7:$P$226*(MONTH('OG T12'!$D$5:$P$5)=MONTH(O$6))*(YEAR('OG T12'!$D$5:$P$5)=YEAR(O$6))),0)</f>
        <v/>
      </c>
      <c r="P38" s="51">
        <f>IF(SUMPRODUCT((LEFT('OG T12'!$B$7:$B$226,LEN($B38))=$B38)*ISNUMBER('OG T12'!$R$7:$R$226)*('OG T12'!$R$7:$R$226&lt;&gt;0))&gt;0,SUMPRODUCT(--(LEFT('OG T12'!$B$7:$B$226,LEN($B38))=$B38),'OG T12'!$R$7:$R$226),IF(COUNT(D38:O38)&gt;0,SUM(D38:O38),0))</f>
        <v/>
      </c>
      <c r="Q38" s="51">
        <f>IF(COUNT(G38:O38)&gt;0,SUM(G38:O38)/9*12,0)</f>
        <v/>
      </c>
      <c r="R38" s="51">
        <f>IF(COUNT(J38:O38)&gt;0,SUM(J38:O38)/6*12,0)</f>
        <v/>
      </c>
      <c r="S38" s="51">
        <f>IF(COUNT(M38:O38)&gt;0,SUM(M38:O38)/3*12,0)</f>
        <v/>
      </c>
      <c r="T38" s="52" t="n"/>
      <c r="U38" s="51">
        <f>IF($U$6="T9",IF(COUNT(D38:O38)&gt;0,Q38,P38),IF($U$6="T6",IF(COUNT(D38:O38)&gt;0,R38,P38),IF($U$6="T3",IF(COUNT(D38:O38)&gt;0,S38,P38),P38)))+T38</f>
        <v/>
      </c>
      <c r="V38" s="53">
        <f>IFERROR($U38/'Summary &amp; Assumptions'!$C$11,0)</f>
        <v/>
      </c>
      <c r="W38" s="52" t="n"/>
      <c r="X38" s="9" t="n"/>
      <c r="Y38" s="51">
        <f>IF($W38="",$U38,IF($X38="Total $",$W38,IF($X38="/ unit",$W38*'Summary &amp; Assumptions'!$C$11,IF($X38="% of EGR",$W38*'P&amp;L'!$U$28,IF($X38="/ SF",$W38*'Summary &amp; Assumptions'!$C$16,IF($X38="% of historicals",$W38*$U38,IF($X38="$ / occ. unit",$W38*'Summary &amp; Assumptions'!$C$15,$W38)))))))</f>
        <v/>
      </c>
      <c r="Z38" s="51">
        <f>CHOOSE($AA$4,N(AB38),N(AD38),N(AF38),N(AH38),N(AJ38))</f>
        <v/>
      </c>
      <c r="AA38" s="1" t="n"/>
      <c r="AB38" s="54">
        <f>IF(SUMIFS($W$51:$W$65,$X$51:$X$65,$B38)&gt;0,SUMIFS($W$51:$W$65,$X$51:$X$65,$B38),Y38+SUM(Y39:Y43)-SUM(U39:U43))</f>
        <v/>
      </c>
      <c r="AC38" s="53">
        <f>IFERROR(AB38/'Summary &amp; Assumptions'!$C$11,0)</f>
        <v/>
      </c>
      <c r="AD38" s="52" t="n">
        <v>0</v>
      </c>
      <c r="AE38" s="53">
        <f>IFERROR(AD38/'Summary &amp; Assumptions'!$C$11,0)</f>
        <v/>
      </c>
      <c r="AF38" s="52" t="n"/>
      <c r="AG38" s="53">
        <f>IFERROR(AF38/'Summary &amp; Assumptions'!$C$11,0)</f>
        <v/>
      </c>
      <c r="AH38" s="52" t="n"/>
      <c r="AI38" s="53">
        <f>IFERROR(AH38/'Summary &amp; Assumptions'!$C$11,0)</f>
        <v/>
      </c>
      <c r="AJ38" s="52" t="n"/>
      <c r="AK38" s="53">
        <f>IFERROR(AJ38/'Summary &amp; Assumptions'!$C$11,0)</f>
        <v/>
      </c>
      <c r="AL38" s="1" t="n"/>
      <c r="AM38" s="1" t="n"/>
      <c r="AN38" s="13" t="n"/>
      <c r="AO38" s="14" t="n"/>
      <c r="AP38" s="9" t="n"/>
    </row>
    <row r="39" hidden="1" outlineLevel="1">
      <c r="A39" s="1" t="n"/>
      <c r="B39" s="3" t="inlineStr">
        <is>
          <t>Utilities - General</t>
        </is>
      </c>
      <c r="C39" s="1" t="n"/>
      <c r="D39" s="51">
        <f>IFERROR(SUMPRODUCT((LEFT('OG T12'!$B$7:$B$226,LEN($B39))=$B39)*'OG T12'!$D$7:$P$226*(MONTH('OG T12'!$D$5:$P$5)=MONTH(D$6))*(YEAR('OG T12'!$D$5:$P$5)=YEAR(D$6))),0)</f>
        <v/>
      </c>
      <c r="E39" s="51">
        <f>IFERROR(SUMPRODUCT((LEFT('OG T12'!$B$7:$B$226,LEN($B39))=$B39)*'OG T12'!$D$7:$P$226*(MONTH('OG T12'!$D$5:$P$5)=MONTH(E$6))*(YEAR('OG T12'!$D$5:$P$5)=YEAR(E$6))),0)</f>
        <v/>
      </c>
      <c r="F39" s="51">
        <f>IFERROR(SUMPRODUCT((LEFT('OG T12'!$B$7:$B$226,LEN($B39))=$B39)*'OG T12'!$D$7:$P$226*(MONTH('OG T12'!$D$5:$P$5)=MONTH(F$6))*(YEAR('OG T12'!$D$5:$P$5)=YEAR(F$6))),0)</f>
        <v/>
      </c>
      <c r="G39" s="51">
        <f>IFERROR(SUMPRODUCT((LEFT('OG T12'!$B$7:$B$226,LEN($B39))=$B39)*'OG T12'!$D$7:$P$226*(MONTH('OG T12'!$D$5:$P$5)=MONTH(G$6))*(YEAR('OG T12'!$D$5:$P$5)=YEAR(G$6))),0)</f>
        <v/>
      </c>
      <c r="H39" s="51">
        <f>IFERROR(SUMPRODUCT((LEFT('OG T12'!$B$7:$B$226,LEN($B39))=$B39)*'OG T12'!$D$7:$P$226*(MONTH('OG T12'!$D$5:$P$5)=MONTH(H$6))*(YEAR('OG T12'!$D$5:$P$5)=YEAR(H$6))),0)</f>
        <v/>
      </c>
      <c r="I39" s="51">
        <f>IFERROR(SUMPRODUCT((LEFT('OG T12'!$B$7:$B$226,LEN($B39))=$B39)*'OG T12'!$D$7:$P$226*(MONTH('OG T12'!$D$5:$P$5)=MONTH(I$6))*(YEAR('OG T12'!$D$5:$P$5)=YEAR(I$6))),0)</f>
        <v/>
      </c>
      <c r="J39" s="51">
        <f>IFERROR(SUMPRODUCT((LEFT('OG T12'!$B$7:$B$226,LEN($B39))=$B39)*'OG T12'!$D$7:$P$226*(MONTH('OG T12'!$D$5:$P$5)=MONTH(J$6))*(YEAR('OG T12'!$D$5:$P$5)=YEAR(J$6))),0)</f>
        <v/>
      </c>
      <c r="K39" s="51">
        <f>IFERROR(SUMPRODUCT((LEFT('OG T12'!$B$7:$B$226,LEN($B39))=$B39)*'OG T12'!$D$7:$P$226*(MONTH('OG T12'!$D$5:$P$5)=MONTH(K$6))*(YEAR('OG T12'!$D$5:$P$5)=YEAR(K$6))),0)</f>
        <v/>
      </c>
      <c r="L39" s="51">
        <f>IFERROR(SUMPRODUCT((LEFT('OG T12'!$B$7:$B$226,LEN($B39))=$B39)*'OG T12'!$D$7:$P$226*(MONTH('OG T12'!$D$5:$P$5)=MONTH(L$6))*(YEAR('OG T12'!$D$5:$P$5)=YEAR(L$6))),0)</f>
        <v/>
      </c>
      <c r="M39" s="51">
        <f>IFERROR(SUMPRODUCT((LEFT('OG T12'!$B$7:$B$226,LEN($B39))=$B39)*'OG T12'!$D$7:$P$226*(MONTH('OG T12'!$D$5:$P$5)=MONTH(M$6))*(YEAR('OG T12'!$D$5:$P$5)=YEAR(M$6))),0)</f>
        <v/>
      </c>
      <c r="N39" s="51">
        <f>IFERROR(SUMPRODUCT((LEFT('OG T12'!$B$7:$B$226,LEN($B39))=$B39)*'OG T12'!$D$7:$P$226*(MONTH('OG T12'!$D$5:$P$5)=MONTH(N$6))*(YEAR('OG T12'!$D$5:$P$5)=YEAR(N$6))),0)</f>
        <v/>
      </c>
      <c r="O39" s="51">
        <f>IFERROR(SUMPRODUCT((LEFT('OG T12'!$B$7:$B$226,LEN($B39))=$B39)*'OG T12'!$D$7:$P$226*(MONTH('OG T12'!$D$5:$P$5)=MONTH(O$6))*(YEAR('OG T12'!$D$5:$P$5)=YEAR(O$6))),0)</f>
        <v/>
      </c>
      <c r="P39" s="51">
        <f>IF(SUMPRODUCT((LEFT('OG T12'!$B$7:$B$226,LEN($B39))=$B39)*ISNUMBER('OG T12'!$R$7:$R$226)*('OG T12'!$R$7:$R$226&lt;&gt;0))&gt;0,SUMPRODUCT(--(LEFT('OG T12'!$B$7:$B$226,LEN($B39))=$B39),'OG T12'!$R$7:$R$226),IF(COUNT(D39:O39)&gt;0,SUM(D39:O39),0))</f>
        <v/>
      </c>
      <c r="Q39" s="51">
        <f>IF(COUNT(G39:O39)&gt;0,SUM(G39:O39)/9*12,0)</f>
        <v/>
      </c>
      <c r="R39" s="51">
        <f>IF(COUNT(J39:O39)&gt;0,SUM(J39:O39)/6*12,0)</f>
        <v/>
      </c>
      <c r="S39" s="51">
        <f>IF(COUNT(M39:O39)&gt;0,SUM(M39:O39)/3*12,0)</f>
        <v/>
      </c>
      <c r="T39" s="52" t="n"/>
      <c r="U39" s="51">
        <f>IF($U$6="T9",IF(COUNT(D39:O39)&gt;0,Q39,P39),IF($U$6="T6",IF(COUNT(D39:O39)&gt;0,R39,P39),IF($U$6="T3",IF(COUNT(D39:O39)&gt;0,S39,P39),P39)))+T39</f>
        <v/>
      </c>
      <c r="V39" s="53">
        <f>IFERROR($U39/'Summary &amp; Assumptions'!$C$11,0)</f>
        <v/>
      </c>
      <c r="W39" s="52" t="n"/>
      <c r="X39" s="9" t="n"/>
      <c r="Y39" s="51">
        <f>IF($W39="",$U39,$W39)</f>
        <v/>
      </c>
      <c r="Z39" s="51">
        <f>CHOOSE($AA$4,N(AB39),N(AD39),N(AF39),N(AH39),N(AJ39))</f>
        <v/>
      </c>
      <c r="AA39" s="1" t="n"/>
      <c r="AB39" s="54">
        <f>Y39</f>
        <v/>
      </c>
      <c r="AC39" s="53">
        <f>IFERROR(AB39/'Summary &amp; Assumptions'!$C$11,0)</f>
        <v/>
      </c>
      <c r="AD39" s="52" t="n">
        <v>0</v>
      </c>
      <c r="AE39" s="53">
        <f>IFERROR(AD39/'Summary &amp; Assumptions'!$C$11,0)</f>
        <v/>
      </c>
      <c r="AF39" s="52" t="n"/>
      <c r="AG39" s="53">
        <f>IFERROR(AF39/'Summary &amp; Assumptions'!$C$11,0)</f>
        <v/>
      </c>
      <c r="AH39" s="52" t="n"/>
      <c r="AI39" s="53">
        <f>IFERROR(AH39/'Summary &amp; Assumptions'!$C$11,0)</f>
        <v/>
      </c>
      <c r="AJ39" s="52" t="n"/>
      <c r="AK39" s="53">
        <f>IFERROR(AJ39/'Summary &amp; Assumptions'!$C$11,0)</f>
        <v/>
      </c>
      <c r="AL39" s="1" t="n"/>
      <c r="AM39" s="1" t="n"/>
      <c r="AN39" s="13" t="n"/>
      <c r="AO39" s="14" t="n"/>
      <c r="AP39" s="9" t="n"/>
    </row>
    <row r="40" hidden="1" outlineLevel="1">
      <c r="A40" s="1" t="n"/>
      <c r="B40" s="3" t="inlineStr">
        <is>
          <t>Utilities - Electric</t>
        </is>
      </c>
      <c r="C40" s="1" t="n"/>
      <c r="D40" s="51">
        <f>IFERROR(SUMPRODUCT((LEFT('OG T12'!$B$7:$B$226,LEN($B40))=$B40)*'OG T12'!$D$7:$P$226*(MONTH('OG T12'!$D$5:$P$5)=MONTH(D$6))*(YEAR('OG T12'!$D$5:$P$5)=YEAR(D$6))),0)</f>
        <v/>
      </c>
      <c r="E40" s="51">
        <f>IFERROR(SUMPRODUCT((LEFT('OG T12'!$B$7:$B$226,LEN($B40))=$B40)*'OG T12'!$D$7:$P$226*(MONTH('OG T12'!$D$5:$P$5)=MONTH(E$6))*(YEAR('OG T12'!$D$5:$P$5)=YEAR(E$6))),0)</f>
        <v/>
      </c>
      <c r="F40" s="51">
        <f>IFERROR(SUMPRODUCT((LEFT('OG T12'!$B$7:$B$226,LEN($B40))=$B40)*'OG T12'!$D$7:$P$226*(MONTH('OG T12'!$D$5:$P$5)=MONTH(F$6))*(YEAR('OG T12'!$D$5:$P$5)=YEAR(F$6))),0)</f>
        <v/>
      </c>
      <c r="G40" s="51">
        <f>IFERROR(SUMPRODUCT((LEFT('OG T12'!$B$7:$B$226,LEN($B40))=$B40)*'OG T12'!$D$7:$P$226*(MONTH('OG T12'!$D$5:$P$5)=MONTH(G$6))*(YEAR('OG T12'!$D$5:$P$5)=YEAR(G$6))),0)</f>
        <v/>
      </c>
      <c r="H40" s="51">
        <f>IFERROR(SUMPRODUCT((LEFT('OG T12'!$B$7:$B$226,LEN($B40))=$B40)*'OG T12'!$D$7:$P$226*(MONTH('OG T12'!$D$5:$P$5)=MONTH(H$6))*(YEAR('OG T12'!$D$5:$P$5)=YEAR(H$6))),0)</f>
        <v/>
      </c>
      <c r="I40" s="51">
        <f>IFERROR(SUMPRODUCT((LEFT('OG T12'!$B$7:$B$226,LEN($B40))=$B40)*'OG T12'!$D$7:$P$226*(MONTH('OG T12'!$D$5:$P$5)=MONTH(I$6))*(YEAR('OG T12'!$D$5:$P$5)=YEAR(I$6))),0)</f>
        <v/>
      </c>
      <c r="J40" s="51">
        <f>IFERROR(SUMPRODUCT((LEFT('OG T12'!$B$7:$B$226,LEN($B40))=$B40)*'OG T12'!$D$7:$P$226*(MONTH('OG T12'!$D$5:$P$5)=MONTH(J$6))*(YEAR('OG T12'!$D$5:$P$5)=YEAR(J$6))),0)</f>
        <v/>
      </c>
      <c r="K40" s="51">
        <f>IFERROR(SUMPRODUCT((LEFT('OG T12'!$B$7:$B$226,LEN($B40))=$B40)*'OG T12'!$D$7:$P$226*(MONTH('OG T12'!$D$5:$P$5)=MONTH(K$6))*(YEAR('OG T12'!$D$5:$P$5)=YEAR(K$6))),0)</f>
        <v/>
      </c>
      <c r="L40" s="51">
        <f>IFERROR(SUMPRODUCT((LEFT('OG T12'!$B$7:$B$226,LEN($B40))=$B40)*'OG T12'!$D$7:$P$226*(MONTH('OG T12'!$D$5:$P$5)=MONTH(L$6))*(YEAR('OG T12'!$D$5:$P$5)=YEAR(L$6))),0)</f>
        <v/>
      </c>
      <c r="M40" s="51">
        <f>IFERROR(SUMPRODUCT((LEFT('OG T12'!$B$7:$B$226,LEN($B40))=$B40)*'OG T12'!$D$7:$P$226*(MONTH('OG T12'!$D$5:$P$5)=MONTH(M$6))*(YEAR('OG T12'!$D$5:$P$5)=YEAR(M$6))),0)</f>
        <v/>
      </c>
      <c r="N40" s="51">
        <f>IFERROR(SUMPRODUCT((LEFT('OG T12'!$B$7:$B$226,LEN($B40))=$B40)*'OG T12'!$D$7:$P$226*(MONTH('OG T12'!$D$5:$P$5)=MONTH(N$6))*(YEAR('OG T12'!$D$5:$P$5)=YEAR(N$6))),0)</f>
        <v/>
      </c>
      <c r="O40" s="51">
        <f>IFERROR(SUMPRODUCT((LEFT('OG T12'!$B$7:$B$226,LEN($B40))=$B40)*'OG T12'!$D$7:$P$226*(MONTH('OG T12'!$D$5:$P$5)=MONTH(O$6))*(YEAR('OG T12'!$D$5:$P$5)=YEAR(O$6))),0)</f>
        <v/>
      </c>
      <c r="P40" s="51">
        <f>IF(SUMPRODUCT((LEFT('OG T12'!$B$7:$B$226,LEN($B40))=$B40)*ISNUMBER('OG T12'!$R$7:$R$226)*('OG T12'!$R$7:$R$226&lt;&gt;0))&gt;0,SUMPRODUCT(--(LEFT('OG T12'!$B$7:$B$226,LEN($B40))=$B40),'OG T12'!$R$7:$R$226),IF(COUNT(D40:O40)&gt;0,SUM(D40:O40),0))</f>
        <v/>
      </c>
      <c r="Q40" s="51">
        <f>IF(COUNT(G40:O40)&gt;0,SUM(G40:O40)/9*12,0)</f>
        <v/>
      </c>
      <c r="R40" s="51">
        <f>IF(COUNT(J40:O40)&gt;0,SUM(J40:O40)/6*12,0)</f>
        <v/>
      </c>
      <c r="S40" s="51">
        <f>IF(COUNT(M40:O40)&gt;0,SUM(M40:O40)/3*12,0)</f>
        <v/>
      </c>
      <c r="T40" s="52" t="n"/>
      <c r="U40" s="51">
        <f>IF($U$6="T9",IF(COUNT(D40:O40)&gt;0,Q40,P40),IF($U$6="T6",IF(COUNT(D40:O40)&gt;0,R40,P40),IF($U$6="T3",IF(COUNT(D40:O40)&gt;0,S40,P40),P40)))+T40</f>
        <v/>
      </c>
      <c r="V40" s="53">
        <f>IFERROR($U40/'Summary &amp; Assumptions'!$C$11,0)</f>
        <v/>
      </c>
      <c r="W40" s="52" t="n"/>
      <c r="X40" s="9" t="n"/>
      <c r="Y40" s="51">
        <f>IF($W40="",$U40,$W40)</f>
        <v/>
      </c>
      <c r="Z40" s="51">
        <f>CHOOSE($AA$4,N(AB40),N(AD40),N(AF40),N(AH40),N(AJ40))</f>
        <v/>
      </c>
      <c r="AA40" s="1" t="n"/>
      <c r="AB40" s="54">
        <f>Y40</f>
        <v/>
      </c>
      <c r="AC40" s="53">
        <f>IFERROR(AB40/'Summary &amp; Assumptions'!$C$11,0)</f>
        <v/>
      </c>
      <c r="AD40" s="52" t="n">
        <v>0</v>
      </c>
      <c r="AE40" s="53">
        <f>IFERROR(AD40/'Summary &amp; Assumptions'!$C$11,0)</f>
        <v/>
      </c>
      <c r="AF40" s="52" t="n"/>
      <c r="AG40" s="53">
        <f>IFERROR(AF40/'Summary &amp; Assumptions'!$C$11,0)</f>
        <v/>
      </c>
      <c r="AH40" s="52" t="n"/>
      <c r="AI40" s="53">
        <f>IFERROR(AH40/'Summary &amp; Assumptions'!$C$11,0)</f>
        <v/>
      </c>
      <c r="AJ40" s="52" t="n"/>
      <c r="AK40" s="53">
        <f>IFERROR(AJ40/'Summary &amp; Assumptions'!$C$11,0)</f>
        <v/>
      </c>
      <c r="AL40" s="1" t="n"/>
      <c r="AM40" s="1" t="n"/>
      <c r="AN40" s="13" t="n"/>
      <c r="AO40" s="14" t="n"/>
      <c r="AP40" s="9" t="n"/>
    </row>
    <row r="41" hidden="1" outlineLevel="1">
      <c r="A41" s="1" t="n"/>
      <c r="B41" s="3" t="inlineStr">
        <is>
          <t>Utilities - Water/Sewer</t>
        </is>
      </c>
      <c r="C41" s="1" t="n"/>
      <c r="D41" s="51">
        <f>IFERROR(SUMPRODUCT((LEFT('OG T12'!$B$7:$B$226,LEN($B41))=$B41)*'OG T12'!$D$7:$P$226*(MONTH('OG T12'!$D$5:$P$5)=MONTH(D$6))*(YEAR('OG T12'!$D$5:$P$5)=YEAR(D$6))),0)</f>
        <v/>
      </c>
      <c r="E41" s="51">
        <f>IFERROR(SUMPRODUCT((LEFT('OG T12'!$B$7:$B$226,LEN($B41))=$B41)*'OG T12'!$D$7:$P$226*(MONTH('OG T12'!$D$5:$P$5)=MONTH(E$6))*(YEAR('OG T12'!$D$5:$P$5)=YEAR(E$6))),0)</f>
        <v/>
      </c>
      <c r="F41" s="51">
        <f>IFERROR(SUMPRODUCT((LEFT('OG T12'!$B$7:$B$226,LEN($B41))=$B41)*'OG T12'!$D$7:$P$226*(MONTH('OG T12'!$D$5:$P$5)=MONTH(F$6))*(YEAR('OG T12'!$D$5:$P$5)=YEAR(F$6))),0)</f>
        <v/>
      </c>
      <c r="G41" s="51">
        <f>IFERROR(SUMPRODUCT((LEFT('OG T12'!$B$7:$B$226,LEN($B41))=$B41)*'OG T12'!$D$7:$P$226*(MONTH('OG T12'!$D$5:$P$5)=MONTH(G$6))*(YEAR('OG T12'!$D$5:$P$5)=YEAR(G$6))),0)</f>
        <v/>
      </c>
      <c r="H41" s="51">
        <f>IFERROR(SUMPRODUCT((LEFT('OG T12'!$B$7:$B$226,LEN($B41))=$B41)*'OG T12'!$D$7:$P$226*(MONTH('OG T12'!$D$5:$P$5)=MONTH(H$6))*(YEAR('OG T12'!$D$5:$P$5)=YEAR(H$6))),0)</f>
        <v/>
      </c>
      <c r="I41" s="51">
        <f>IFERROR(SUMPRODUCT((LEFT('OG T12'!$B$7:$B$226,LEN($B41))=$B41)*'OG T12'!$D$7:$P$226*(MONTH('OG T12'!$D$5:$P$5)=MONTH(I$6))*(YEAR('OG T12'!$D$5:$P$5)=YEAR(I$6))),0)</f>
        <v/>
      </c>
      <c r="J41" s="51">
        <f>IFERROR(SUMPRODUCT((LEFT('OG T12'!$B$7:$B$226,LEN($B41))=$B41)*'OG T12'!$D$7:$P$226*(MONTH('OG T12'!$D$5:$P$5)=MONTH(J$6))*(YEAR('OG T12'!$D$5:$P$5)=YEAR(J$6))),0)</f>
        <v/>
      </c>
      <c r="K41" s="51">
        <f>IFERROR(SUMPRODUCT((LEFT('OG T12'!$B$7:$B$226,LEN($B41))=$B41)*'OG T12'!$D$7:$P$226*(MONTH('OG T12'!$D$5:$P$5)=MONTH(K$6))*(YEAR('OG T12'!$D$5:$P$5)=YEAR(K$6))),0)</f>
        <v/>
      </c>
      <c r="L41" s="51">
        <f>IFERROR(SUMPRODUCT((LEFT('OG T12'!$B$7:$B$226,LEN($B41))=$B41)*'OG T12'!$D$7:$P$226*(MONTH('OG T12'!$D$5:$P$5)=MONTH(L$6))*(YEAR('OG T12'!$D$5:$P$5)=YEAR(L$6))),0)</f>
        <v/>
      </c>
      <c r="M41" s="51">
        <f>IFERROR(SUMPRODUCT((LEFT('OG T12'!$B$7:$B$226,LEN($B41))=$B41)*'OG T12'!$D$7:$P$226*(MONTH('OG T12'!$D$5:$P$5)=MONTH(M$6))*(YEAR('OG T12'!$D$5:$P$5)=YEAR(M$6))),0)</f>
        <v/>
      </c>
      <c r="N41" s="51">
        <f>IFERROR(SUMPRODUCT((LEFT('OG T12'!$B$7:$B$226,LEN($B41))=$B41)*'OG T12'!$D$7:$P$226*(MONTH('OG T12'!$D$5:$P$5)=MONTH(N$6))*(YEAR('OG T12'!$D$5:$P$5)=YEAR(N$6))),0)</f>
        <v/>
      </c>
      <c r="O41" s="51">
        <f>IFERROR(SUMPRODUCT((LEFT('OG T12'!$B$7:$B$226,LEN($B41))=$B41)*'OG T12'!$D$7:$P$226*(MONTH('OG T12'!$D$5:$P$5)=MONTH(O$6))*(YEAR('OG T12'!$D$5:$P$5)=YEAR(O$6))),0)</f>
        <v/>
      </c>
      <c r="P41" s="51">
        <f>IF(SUMPRODUCT((LEFT('OG T12'!$B$7:$B$226,LEN($B41))=$B41)*ISNUMBER('OG T12'!$R$7:$R$226)*('OG T12'!$R$7:$R$226&lt;&gt;0))&gt;0,SUMPRODUCT(--(LEFT('OG T12'!$B$7:$B$226,LEN($B41))=$B41),'OG T12'!$R$7:$R$226),IF(COUNT(D41:O41)&gt;0,SUM(D41:O41),0))</f>
        <v/>
      </c>
      <c r="Q41" s="51">
        <f>IF(COUNT(G41:O41)&gt;0,SUM(G41:O41)/9*12,0)</f>
        <v/>
      </c>
      <c r="R41" s="51">
        <f>IF(COUNT(J41:O41)&gt;0,SUM(J41:O41)/6*12,0)</f>
        <v/>
      </c>
      <c r="S41" s="51">
        <f>IF(COUNT(M41:O41)&gt;0,SUM(M41:O41)/3*12,0)</f>
        <v/>
      </c>
      <c r="T41" s="52" t="n"/>
      <c r="U41" s="51">
        <f>IF($U$6="T9",IF(COUNT(D41:O41)&gt;0,Q41,P41),IF($U$6="T6",IF(COUNT(D41:O41)&gt;0,R41,P41),IF($U$6="T3",IF(COUNT(D41:O41)&gt;0,S41,P41),P41)))+T41</f>
        <v/>
      </c>
      <c r="V41" s="53">
        <f>IFERROR($U41/'Summary &amp; Assumptions'!$C$11,0)</f>
        <v/>
      </c>
      <c r="W41" s="52" t="n"/>
      <c r="X41" s="9" t="n"/>
      <c r="Y41" s="51">
        <f>IF($W41="",$U41,$W41)</f>
        <v/>
      </c>
      <c r="Z41" s="51">
        <f>CHOOSE($AA$4,N(AB41),N(AD41),N(AF41),N(AH41),N(AJ41))</f>
        <v/>
      </c>
      <c r="AA41" s="1" t="n"/>
      <c r="AB41" s="54">
        <f>Y41</f>
        <v/>
      </c>
      <c r="AC41" s="53">
        <f>IFERROR(AB41/'Summary &amp; Assumptions'!$C$11,0)</f>
        <v/>
      </c>
      <c r="AD41" s="52" t="n">
        <v>0</v>
      </c>
      <c r="AE41" s="53">
        <f>IFERROR(AD41/'Summary &amp; Assumptions'!$C$11,0)</f>
        <v/>
      </c>
      <c r="AF41" s="52" t="n"/>
      <c r="AG41" s="53">
        <f>IFERROR(AF41/'Summary &amp; Assumptions'!$C$11,0)</f>
        <v/>
      </c>
      <c r="AH41" s="52" t="n"/>
      <c r="AI41" s="53">
        <f>IFERROR(AH41/'Summary &amp; Assumptions'!$C$11,0)</f>
        <v/>
      </c>
      <c r="AJ41" s="52" t="n"/>
      <c r="AK41" s="53">
        <f>IFERROR(AJ41/'Summary &amp; Assumptions'!$C$11,0)</f>
        <v/>
      </c>
      <c r="AL41" s="1" t="n"/>
      <c r="AM41" s="1" t="n"/>
      <c r="AN41" s="13" t="n"/>
      <c r="AO41" s="14" t="n"/>
      <c r="AP41" s="9" t="n"/>
    </row>
    <row r="42" hidden="1" outlineLevel="1">
      <c r="A42" s="1" t="n"/>
      <c r="B42" s="3" t="inlineStr">
        <is>
          <t>Utilities - Gas</t>
        </is>
      </c>
      <c r="C42" s="1" t="n"/>
      <c r="D42" s="51">
        <f>IFERROR(SUMPRODUCT((LEFT('OG T12'!$B$7:$B$226,LEN($B42))=$B42)*'OG T12'!$D$7:$P$226*(MONTH('OG T12'!$D$5:$P$5)=MONTH(D$6))*(YEAR('OG T12'!$D$5:$P$5)=YEAR(D$6))),0)</f>
        <v/>
      </c>
      <c r="E42" s="51">
        <f>IFERROR(SUMPRODUCT((LEFT('OG T12'!$B$7:$B$226,LEN($B42))=$B42)*'OG T12'!$D$7:$P$226*(MONTH('OG T12'!$D$5:$P$5)=MONTH(E$6))*(YEAR('OG T12'!$D$5:$P$5)=YEAR(E$6))),0)</f>
        <v/>
      </c>
      <c r="F42" s="51">
        <f>IFERROR(SUMPRODUCT((LEFT('OG T12'!$B$7:$B$226,LEN($B42))=$B42)*'OG T12'!$D$7:$P$226*(MONTH('OG T12'!$D$5:$P$5)=MONTH(F$6))*(YEAR('OG T12'!$D$5:$P$5)=YEAR(F$6))),0)</f>
        <v/>
      </c>
      <c r="G42" s="51">
        <f>IFERROR(SUMPRODUCT((LEFT('OG T12'!$B$7:$B$226,LEN($B42))=$B42)*'OG T12'!$D$7:$P$226*(MONTH('OG T12'!$D$5:$P$5)=MONTH(G$6))*(YEAR('OG T12'!$D$5:$P$5)=YEAR(G$6))),0)</f>
        <v/>
      </c>
      <c r="H42" s="51">
        <f>IFERROR(SUMPRODUCT((LEFT('OG T12'!$B$7:$B$226,LEN($B42))=$B42)*'OG T12'!$D$7:$P$226*(MONTH('OG T12'!$D$5:$P$5)=MONTH(H$6))*(YEAR('OG T12'!$D$5:$P$5)=YEAR(H$6))),0)</f>
        <v/>
      </c>
      <c r="I42" s="51">
        <f>IFERROR(SUMPRODUCT((LEFT('OG T12'!$B$7:$B$226,LEN($B42))=$B42)*'OG T12'!$D$7:$P$226*(MONTH('OG T12'!$D$5:$P$5)=MONTH(I$6))*(YEAR('OG T12'!$D$5:$P$5)=YEAR(I$6))),0)</f>
        <v/>
      </c>
      <c r="J42" s="51">
        <f>IFERROR(SUMPRODUCT((LEFT('OG T12'!$B$7:$B$226,LEN($B42))=$B42)*'OG T12'!$D$7:$P$226*(MONTH('OG T12'!$D$5:$P$5)=MONTH(J$6))*(YEAR('OG T12'!$D$5:$P$5)=YEAR(J$6))),0)</f>
        <v/>
      </c>
      <c r="K42" s="51">
        <f>IFERROR(SUMPRODUCT((LEFT('OG T12'!$B$7:$B$226,LEN($B42))=$B42)*'OG T12'!$D$7:$P$226*(MONTH('OG T12'!$D$5:$P$5)=MONTH(K$6))*(YEAR('OG T12'!$D$5:$P$5)=YEAR(K$6))),0)</f>
        <v/>
      </c>
      <c r="L42" s="51">
        <f>IFERROR(SUMPRODUCT((LEFT('OG T12'!$B$7:$B$226,LEN($B42))=$B42)*'OG T12'!$D$7:$P$226*(MONTH('OG T12'!$D$5:$P$5)=MONTH(L$6))*(YEAR('OG T12'!$D$5:$P$5)=YEAR(L$6))),0)</f>
        <v/>
      </c>
      <c r="M42" s="51">
        <f>IFERROR(SUMPRODUCT((LEFT('OG T12'!$B$7:$B$226,LEN($B42))=$B42)*'OG T12'!$D$7:$P$226*(MONTH('OG T12'!$D$5:$P$5)=MONTH(M$6))*(YEAR('OG T12'!$D$5:$P$5)=YEAR(M$6))),0)</f>
        <v/>
      </c>
      <c r="N42" s="51">
        <f>IFERROR(SUMPRODUCT((LEFT('OG T12'!$B$7:$B$226,LEN($B42))=$B42)*'OG T12'!$D$7:$P$226*(MONTH('OG T12'!$D$5:$P$5)=MONTH(N$6))*(YEAR('OG T12'!$D$5:$P$5)=YEAR(N$6))),0)</f>
        <v/>
      </c>
      <c r="O42" s="51">
        <f>IFERROR(SUMPRODUCT((LEFT('OG T12'!$B$7:$B$226,LEN($B42))=$B42)*'OG T12'!$D$7:$P$226*(MONTH('OG T12'!$D$5:$P$5)=MONTH(O$6))*(YEAR('OG T12'!$D$5:$P$5)=YEAR(O$6))),0)</f>
        <v/>
      </c>
      <c r="P42" s="51">
        <f>IF(SUMPRODUCT((LEFT('OG T12'!$B$7:$B$226,LEN($B42))=$B42)*ISNUMBER('OG T12'!$R$7:$R$226)*('OG T12'!$R$7:$R$226&lt;&gt;0))&gt;0,SUMPRODUCT(--(LEFT('OG T12'!$B$7:$B$226,LEN($B42))=$B42),'OG T12'!$R$7:$R$226),IF(COUNT(D42:O42)&gt;0,SUM(D42:O42),0))</f>
        <v/>
      </c>
      <c r="Q42" s="51">
        <f>IF(COUNT(G42:O42)&gt;0,SUM(G42:O42)/9*12,0)</f>
        <v/>
      </c>
      <c r="R42" s="51">
        <f>IF(COUNT(J42:O42)&gt;0,SUM(J42:O42)/6*12,0)</f>
        <v/>
      </c>
      <c r="S42" s="51">
        <f>IF(COUNT(M42:O42)&gt;0,SUM(M42:O42)/3*12,0)</f>
        <v/>
      </c>
      <c r="T42" s="52" t="n"/>
      <c r="U42" s="51">
        <f>IF($U$6="T9",IF(COUNT(D42:O42)&gt;0,Q42,P42),IF($U$6="T6",IF(COUNT(D42:O42)&gt;0,R42,P42),IF($U$6="T3",IF(COUNT(D42:O42)&gt;0,S42,P42),P42)))+T42</f>
        <v/>
      </c>
      <c r="V42" s="53">
        <f>IFERROR($U42/'Summary &amp; Assumptions'!$C$11,0)</f>
        <v/>
      </c>
      <c r="W42" s="52" t="n"/>
      <c r="X42" s="9" t="n"/>
      <c r="Y42" s="51">
        <f>IF($W42="",$U42,$W42)</f>
        <v/>
      </c>
      <c r="Z42" s="51">
        <f>CHOOSE($AA$4,N(AB42),N(AD42),N(AF42),N(AH42),N(AJ42))</f>
        <v/>
      </c>
      <c r="AA42" s="1" t="n"/>
      <c r="AB42" s="54">
        <f>Y42</f>
        <v/>
      </c>
      <c r="AC42" s="53">
        <f>IFERROR(AB42/'Summary &amp; Assumptions'!$C$11,0)</f>
        <v/>
      </c>
      <c r="AD42" s="52" t="n">
        <v>0</v>
      </c>
      <c r="AE42" s="53">
        <f>IFERROR(AD42/'Summary &amp; Assumptions'!$C$11,0)</f>
        <v/>
      </c>
      <c r="AF42" s="52" t="n"/>
      <c r="AG42" s="53">
        <f>IFERROR(AF42/'Summary &amp; Assumptions'!$C$11,0)</f>
        <v/>
      </c>
      <c r="AH42" s="52" t="n"/>
      <c r="AI42" s="53">
        <f>IFERROR(AH42/'Summary &amp; Assumptions'!$C$11,0)</f>
        <v/>
      </c>
      <c r="AJ42" s="52" t="n"/>
      <c r="AK42" s="53">
        <f>IFERROR(AJ42/'Summary &amp; Assumptions'!$C$11,0)</f>
        <v/>
      </c>
      <c r="AL42" s="1" t="n"/>
      <c r="AM42" s="1" t="n"/>
      <c r="AN42" s="13" t="n"/>
      <c r="AO42" s="14" t="n"/>
      <c r="AP42" s="9" t="n"/>
    </row>
    <row r="43" hidden="1" outlineLevel="1">
      <c r="A43" s="1" t="n"/>
      <c r="B43" s="3" t="inlineStr">
        <is>
          <t>Utilities - Trash</t>
        </is>
      </c>
      <c r="C43" s="1" t="n"/>
      <c r="D43" s="51">
        <f>IFERROR(SUMPRODUCT((LEFT('OG T12'!$B$7:$B$226,LEN($B43))=$B43)*'OG T12'!$D$7:$P$226*(MONTH('OG T12'!$D$5:$P$5)=MONTH(D$6))*(YEAR('OG T12'!$D$5:$P$5)=YEAR(D$6))),0)</f>
        <v/>
      </c>
      <c r="E43" s="51">
        <f>IFERROR(SUMPRODUCT((LEFT('OG T12'!$B$7:$B$226,LEN($B43))=$B43)*'OG T12'!$D$7:$P$226*(MONTH('OG T12'!$D$5:$P$5)=MONTH(E$6))*(YEAR('OG T12'!$D$5:$P$5)=YEAR(E$6))),0)</f>
        <v/>
      </c>
      <c r="F43" s="51">
        <f>IFERROR(SUMPRODUCT((LEFT('OG T12'!$B$7:$B$226,LEN($B43))=$B43)*'OG T12'!$D$7:$P$226*(MONTH('OG T12'!$D$5:$P$5)=MONTH(F$6))*(YEAR('OG T12'!$D$5:$P$5)=YEAR(F$6))),0)</f>
        <v/>
      </c>
      <c r="G43" s="51">
        <f>IFERROR(SUMPRODUCT((LEFT('OG T12'!$B$7:$B$226,LEN($B43))=$B43)*'OG T12'!$D$7:$P$226*(MONTH('OG T12'!$D$5:$P$5)=MONTH(G$6))*(YEAR('OG T12'!$D$5:$P$5)=YEAR(G$6))),0)</f>
        <v/>
      </c>
      <c r="H43" s="51">
        <f>IFERROR(SUMPRODUCT((LEFT('OG T12'!$B$7:$B$226,LEN($B43))=$B43)*'OG T12'!$D$7:$P$226*(MONTH('OG T12'!$D$5:$P$5)=MONTH(H$6))*(YEAR('OG T12'!$D$5:$P$5)=YEAR(H$6))),0)</f>
        <v/>
      </c>
      <c r="I43" s="51">
        <f>IFERROR(SUMPRODUCT((LEFT('OG T12'!$B$7:$B$226,LEN($B43))=$B43)*'OG T12'!$D$7:$P$226*(MONTH('OG T12'!$D$5:$P$5)=MONTH(I$6))*(YEAR('OG T12'!$D$5:$P$5)=YEAR(I$6))),0)</f>
        <v/>
      </c>
      <c r="J43" s="51">
        <f>IFERROR(SUMPRODUCT((LEFT('OG T12'!$B$7:$B$226,LEN($B43))=$B43)*'OG T12'!$D$7:$P$226*(MONTH('OG T12'!$D$5:$P$5)=MONTH(J$6))*(YEAR('OG T12'!$D$5:$P$5)=YEAR(J$6))),0)</f>
        <v/>
      </c>
      <c r="K43" s="51">
        <f>IFERROR(SUMPRODUCT((LEFT('OG T12'!$B$7:$B$226,LEN($B43))=$B43)*'OG T12'!$D$7:$P$226*(MONTH('OG T12'!$D$5:$P$5)=MONTH(K$6))*(YEAR('OG T12'!$D$5:$P$5)=YEAR(K$6))),0)</f>
        <v/>
      </c>
      <c r="L43" s="51">
        <f>IFERROR(SUMPRODUCT((LEFT('OG T12'!$B$7:$B$226,LEN($B43))=$B43)*'OG T12'!$D$7:$P$226*(MONTH('OG T12'!$D$5:$P$5)=MONTH(L$6))*(YEAR('OG T12'!$D$5:$P$5)=YEAR(L$6))),0)</f>
        <v/>
      </c>
      <c r="M43" s="51">
        <f>IFERROR(SUMPRODUCT((LEFT('OG T12'!$B$7:$B$226,LEN($B43))=$B43)*'OG T12'!$D$7:$P$226*(MONTH('OG T12'!$D$5:$P$5)=MONTH(M$6))*(YEAR('OG T12'!$D$5:$P$5)=YEAR(M$6))),0)</f>
        <v/>
      </c>
      <c r="N43" s="51">
        <f>IFERROR(SUMPRODUCT((LEFT('OG T12'!$B$7:$B$226,LEN($B43))=$B43)*'OG T12'!$D$7:$P$226*(MONTH('OG T12'!$D$5:$P$5)=MONTH(N$6))*(YEAR('OG T12'!$D$5:$P$5)=YEAR(N$6))),0)</f>
        <v/>
      </c>
      <c r="O43" s="51">
        <f>IFERROR(SUMPRODUCT((LEFT('OG T12'!$B$7:$B$226,LEN($B43))=$B43)*'OG T12'!$D$7:$P$226*(MONTH('OG T12'!$D$5:$P$5)=MONTH(O$6))*(YEAR('OG T12'!$D$5:$P$5)=YEAR(O$6))),0)</f>
        <v/>
      </c>
      <c r="P43" s="51">
        <f>IF(SUMPRODUCT((LEFT('OG T12'!$B$7:$B$226,LEN($B43))=$B43)*ISNUMBER('OG T12'!$R$7:$R$226)*('OG T12'!$R$7:$R$226&lt;&gt;0))&gt;0,SUMPRODUCT(--(LEFT('OG T12'!$B$7:$B$226,LEN($B43))=$B43),'OG T12'!$R$7:$R$226),IF(COUNT(D43:O43)&gt;0,SUM(D43:O43),0))</f>
        <v/>
      </c>
      <c r="Q43" s="51">
        <f>IF(COUNT(G43:O43)&gt;0,SUM(G43:O43)/9*12,0)</f>
        <v/>
      </c>
      <c r="R43" s="51">
        <f>IF(COUNT(J43:O43)&gt;0,SUM(J43:O43)/6*12,0)</f>
        <v/>
      </c>
      <c r="S43" s="51">
        <f>IF(COUNT(M43:O43)&gt;0,SUM(M43:O43)/3*12,0)</f>
        <v/>
      </c>
      <c r="T43" s="52" t="n"/>
      <c r="U43" s="51">
        <f>IF($U$6="T9",IF(COUNT(D43:O43)&gt;0,Q43,P43),IF($U$6="T6",IF(COUNT(D43:O43)&gt;0,R43,P43),IF($U$6="T3",IF(COUNT(D43:O43)&gt;0,S43,P43),P43)))+T43</f>
        <v/>
      </c>
      <c r="V43" s="53">
        <f>IFERROR($U43/'Summary &amp; Assumptions'!$C$11,0)</f>
        <v/>
      </c>
      <c r="W43" s="52" t="n"/>
      <c r="X43" s="9" t="n"/>
      <c r="Y43" s="51">
        <f>IF($W43="",$U43,$W43)</f>
        <v/>
      </c>
      <c r="Z43" s="51">
        <f>CHOOSE($AA$4,N(AB43),N(AD43),N(AF43),N(AH43),N(AJ43))</f>
        <v/>
      </c>
      <c r="AA43" s="1" t="n"/>
      <c r="AB43" s="54">
        <f>Y43</f>
        <v/>
      </c>
      <c r="AC43" s="53">
        <f>IFERROR(AB43/'Summary &amp; Assumptions'!$C$11,0)</f>
        <v/>
      </c>
      <c r="AD43" s="52" t="n">
        <v>0</v>
      </c>
      <c r="AE43" s="53">
        <f>IFERROR(AD43/'Summary &amp; Assumptions'!$C$11,0)</f>
        <v/>
      </c>
      <c r="AF43" s="52" t="n"/>
      <c r="AG43" s="53">
        <f>IFERROR(AF43/'Summary &amp; Assumptions'!$C$11,0)</f>
        <v/>
      </c>
      <c r="AH43" s="52" t="n"/>
      <c r="AI43" s="53">
        <f>IFERROR(AH43/'Summary &amp; Assumptions'!$C$11,0)</f>
        <v/>
      </c>
      <c r="AJ43" s="52" t="n"/>
      <c r="AK43" s="53">
        <f>IFERROR(AJ43/'Summary &amp; Assumptions'!$C$11,0)</f>
        <v/>
      </c>
      <c r="AL43" s="1" t="n"/>
      <c r="AM43" s="1" t="n"/>
      <c r="AN43" s="13" t="n"/>
      <c r="AO43" s="14" t="n"/>
      <c r="AP43" s="9" t="n"/>
    </row>
    <row r="44">
      <c r="A44" s="1" t="n"/>
      <c r="B44" s="8" t="inlineStr">
        <is>
          <t>Marketing/Advertising</t>
        </is>
      </c>
      <c r="C44" s="1" t="n"/>
      <c r="D44" s="51">
        <f>IFERROR(SUMPRODUCT((LEFT('OG T12'!$B$7:$B$226,LEN($B44))=$B44)*'OG T12'!$D$7:$P$226*(MONTH('OG T12'!$D$5:$P$5)=MONTH(D$6))*(YEAR('OG T12'!$D$5:$P$5)=YEAR(D$6))),0)</f>
        <v/>
      </c>
      <c r="E44" s="51">
        <f>IFERROR(SUMPRODUCT((LEFT('OG T12'!$B$7:$B$226,LEN($B44))=$B44)*'OG T12'!$D$7:$P$226*(MONTH('OG T12'!$D$5:$P$5)=MONTH(E$6))*(YEAR('OG T12'!$D$5:$P$5)=YEAR(E$6))),0)</f>
        <v/>
      </c>
      <c r="F44" s="51">
        <f>IFERROR(SUMPRODUCT((LEFT('OG T12'!$B$7:$B$226,LEN($B44))=$B44)*'OG T12'!$D$7:$P$226*(MONTH('OG T12'!$D$5:$P$5)=MONTH(F$6))*(YEAR('OG T12'!$D$5:$P$5)=YEAR(F$6))),0)</f>
        <v/>
      </c>
      <c r="G44" s="51">
        <f>IFERROR(SUMPRODUCT((LEFT('OG T12'!$B$7:$B$226,LEN($B44))=$B44)*'OG T12'!$D$7:$P$226*(MONTH('OG T12'!$D$5:$P$5)=MONTH(G$6))*(YEAR('OG T12'!$D$5:$P$5)=YEAR(G$6))),0)</f>
        <v/>
      </c>
      <c r="H44" s="51">
        <f>IFERROR(SUMPRODUCT((LEFT('OG T12'!$B$7:$B$226,LEN($B44))=$B44)*'OG T12'!$D$7:$P$226*(MONTH('OG T12'!$D$5:$P$5)=MONTH(H$6))*(YEAR('OG T12'!$D$5:$P$5)=YEAR(H$6))),0)</f>
        <v/>
      </c>
      <c r="I44" s="51">
        <f>IFERROR(SUMPRODUCT((LEFT('OG T12'!$B$7:$B$226,LEN($B44))=$B44)*'OG T12'!$D$7:$P$226*(MONTH('OG T12'!$D$5:$P$5)=MONTH(I$6))*(YEAR('OG T12'!$D$5:$P$5)=YEAR(I$6))),0)</f>
        <v/>
      </c>
      <c r="J44" s="51">
        <f>IFERROR(SUMPRODUCT((LEFT('OG T12'!$B$7:$B$226,LEN($B44))=$B44)*'OG T12'!$D$7:$P$226*(MONTH('OG T12'!$D$5:$P$5)=MONTH(J$6))*(YEAR('OG T12'!$D$5:$P$5)=YEAR(J$6))),0)</f>
        <v/>
      </c>
      <c r="K44" s="51">
        <f>IFERROR(SUMPRODUCT((LEFT('OG T12'!$B$7:$B$226,LEN($B44))=$B44)*'OG T12'!$D$7:$P$226*(MONTH('OG T12'!$D$5:$P$5)=MONTH(K$6))*(YEAR('OG T12'!$D$5:$P$5)=YEAR(K$6))),0)</f>
        <v/>
      </c>
      <c r="L44" s="51">
        <f>IFERROR(SUMPRODUCT((LEFT('OG T12'!$B$7:$B$226,LEN($B44))=$B44)*'OG T12'!$D$7:$P$226*(MONTH('OG T12'!$D$5:$P$5)=MONTH(L$6))*(YEAR('OG T12'!$D$5:$P$5)=YEAR(L$6))),0)</f>
        <v/>
      </c>
      <c r="M44" s="51">
        <f>IFERROR(SUMPRODUCT((LEFT('OG T12'!$B$7:$B$226,LEN($B44))=$B44)*'OG T12'!$D$7:$P$226*(MONTH('OG T12'!$D$5:$P$5)=MONTH(M$6))*(YEAR('OG T12'!$D$5:$P$5)=YEAR(M$6))),0)</f>
        <v/>
      </c>
      <c r="N44" s="51">
        <f>IFERROR(SUMPRODUCT((LEFT('OG T12'!$B$7:$B$226,LEN($B44))=$B44)*'OG T12'!$D$7:$P$226*(MONTH('OG T12'!$D$5:$P$5)=MONTH(N$6))*(YEAR('OG T12'!$D$5:$P$5)=YEAR(N$6))),0)</f>
        <v/>
      </c>
      <c r="O44" s="51">
        <f>IFERROR(SUMPRODUCT((LEFT('OG T12'!$B$7:$B$226,LEN($B44))=$B44)*'OG T12'!$D$7:$P$226*(MONTH('OG T12'!$D$5:$P$5)=MONTH(O$6))*(YEAR('OG T12'!$D$5:$P$5)=YEAR(O$6))),0)</f>
        <v/>
      </c>
      <c r="P44" s="51">
        <f>IF(SUMPRODUCT((LEFT('OG T12'!$B$7:$B$226,LEN($B44))=$B44)*ISNUMBER('OG T12'!$R$7:$R$226)*('OG T12'!$R$7:$R$226&lt;&gt;0))&gt;0,SUMPRODUCT(--(LEFT('OG T12'!$B$7:$B$226,LEN($B44))=$B44),'OG T12'!$R$7:$R$226),IF(COUNT(D44:O44)&gt;0,SUM(D44:O44),0))</f>
        <v/>
      </c>
      <c r="Q44" s="51">
        <f>IF(COUNT(G44:O44)&gt;0,SUM(G44:O44)/9*12,0)</f>
        <v/>
      </c>
      <c r="R44" s="51">
        <f>IF(COUNT(J44:O44)&gt;0,SUM(J44:O44)/6*12,0)</f>
        <v/>
      </c>
      <c r="S44" s="51">
        <f>IF(COUNT(M44:O44)&gt;0,SUM(M44:O44)/3*12,0)</f>
        <v/>
      </c>
      <c r="T44" s="52" t="n"/>
      <c r="U44" s="51">
        <f>IF($U$6="T9",IF(COUNT(D44:O44)&gt;0,Q44,P44),IF($U$6="T6",IF(COUNT(D44:O44)&gt;0,R44,P44),IF($U$6="T3",IF(COUNT(D44:O44)&gt;0,S44,P44),P44)))+T44</f>
        <v/>
      </c>
      <c r="V44" s="53">
        <f>IFERROR($U44/'Summary &amp; Assumptions'!$C$11,0)</f>
        <v/>
      </c>
      <c r="W44" s="52" t="n"/>
      <c r="X44" s="9" t="n"/>
      <c r="Y44" s="51">
        <f>IF($W44="",$U44,IF($X44="Total $",$W44,IF($X44="/ unit",$W44*'Summary &amp; Assumptions'!$C$11,IF($X44="% of EGR",$W44*'P&amp;L'!$U$28,IF($X44="/ SF",$W44*'Summary &amp; Assumptions'!$C$16,IF($X44="% of historicals",$W44*$U44,IF($X44="$ / occ. unit",$W44*'Summary &amp; Assumptions'!$C$15,$W44)))))))</f>
        <v/>
      </c>
      <c r="Z44" s="51">
        <f>CHOOSE($AA$4,N(AB44),N(AD44),N(AF44),N(AH44),N(AJ44))</f>
        <v/>
      </c>
      <c r="AA44" s="1" t="n"/>
      <c r="AB44" s="54">
        <f>IF(SUMIFS($W$51:$W$65,$X$51:$X$65,$B44)&gt;0,SUMIFS($W$51:$W$65,$X$51:$X$65,$B44),Y44)</f>
        <v/>
      </c>
      <c r="AC44" s="53">
        <f>IFERROR(AB44/'Summary &amp; Assumptions'!$C$11,0)</f>
        <v/>
      </c>
      <c r="AD44" s="52" t="n">
        <v>0</v>
      </c>
      <c r="AE44" s="53">
        <f>IFERROR(AD44/'Summary &amp; Assumptions'!$C$11,0)</f>
        <v/>
      </c>
      <c r="AF44" s="52" t="n"/>
      <c r="AG44" s="53">
        <f>IFERROR(AF44/'Summary &amp; Assumptions'!$C$11,0)</f>
        <v/>
      </c>
      <c r="AH44" s="52" t="n"/>
      <c r="AI44" s="53">
        <f>IFERROR(AH44/'Summary &amp; Assumptions'!$C$11,0)</f>
        <v/>
      </c>
      <c r="AJ44" s="52" t="n"/>
      <c r="AK44" s="53">
        <f>IFERROR(AJ44/'Summary &amp; Assumptions'!$C$11,0)</f>
        <v/>
      </c>
      <c r="AL44" s="1" t="n"/>
      <c r="AM44" s="1" t="n"/>
      <c r="AN44" s="13" t="n"/>
      <c r="AO44" s="14" t="n"/>
      <c r="AP44" s="9" t="n"/>
    </row>
    <row r="45">
      <c r="A45" s="1" t="n"/>
      <c r="B45" s="8" t="inlineStr">
        <is>
          <t>Administrative</t>
        </is>
      </c>
      <c r="C45" s="1" t="n"/>
      <c r="D45" s="51">
        <f>IFERROR(SUMPRODUCT((LEFT('OG T12'!$B$7:$B$226,LEN($B45))=$B45)*'OG T12'!$D$7:$P$226*(MONTH('OG T12'!$D$5:$P$5)=MONTH(D$6))*(YEAR('OG T12'!$D$5:$P$5)=YEAR(D$6))),0)</f>
        <v/>
      </c>
      <c r="E45" s="51">
        <f>IFERROR(SUMPRODUCT((LEFT('OG T12'!$B$7:$B$226,LEN($B45))=$B45)*'OG T12'!$D$7:$P$226*(MONTH('OG T12'!$D$5:$P$5)=MONTH(E$6))*(YEAR('OG T12'!$D$5:$P$5)=YEAR(E$6))),0)</f>
        <v/>
      </c>
      <c r="F45" s="51">
        <f>IFERROR(SUMPRODUCT((LEFT('OG T12'!$B$7:$B$226,LEN($B45))=$B45)*'OG T12'!$D$7:$P$226*(MONTH('OG T12'!$D$5:$P$5)=MONTH(F$6))*(YEAR('OG T12'!$D$5:$P$5)=YEAR(F$6))),0)</f>
        <v/>
      </c>
      <c r="G45" s="51">
        <f>IFERROR(SUMPRODUCT((LEFT('OG T12'!$B$7:$B$226,LEN($B45))=$B45)*'OG T12'!$D$7:$P$226*(MONTH('OG T12'!$D$5:$P$5)=MONTH(G$6))*(YEAR('OG T12'!$D$5:$P$5)=YEAR(G$6))),0)</f>
        <v/>
      </c>
      <c r="H45" s="51">
        <f>IFERROR(SUMPRODUCT((LEFT('OG T12'!$B$7:$B$226,LEN($B45))=$B45)*'OG T12'!$D$7:$P$226*(MONTH('OG T12'!$D$5:$P$5)=MONTH(H$6))*(YEAR('OG T12'!$D$5:$P$5)=YEAR(H$6))),0)</f>
        <v/>
      </c>
      <c r="I45" s="51">
        <f>IFERROR(SUMPRODUCT((LEFT('OG T12'!$B$7:$B$226,LEN($B45))=$B45)*'OG T12'!$D$7:$P$226*(MONTH('OG T12'!$D$5:$P$5)=MONTH(I$6))*(YEAR('OG T12'!$D$5:$P$5)=YEAR(I$6))),0)</f>
        <v/>
      </c>
      <c r="J45" s="51">
        <f>IFERROR(SUMPRODUCT((LEFT('OG T12'!$B$7:$B$226,LEN($B45))=$B45)*'OG T12'!$D$7:$P$226*(MONTH('OG T12'!$D$5:$P$5)=MONTH(J$6))*(YEAR('OG T12'!$D$5:$P$5)=YEAR(J$6))),0)</f>
        <v/>
      </c>
      <c r="K45" s="51">
        <f>IFERROR(SUMPRODUCT((LEFT('OG T12'!$B$7:$B$226,LEN($B45))=$B45)*'OG T12'!$D$7:$P$226*(MONTH('OG T12'!$D$5:$P$5)=MONTH(K$6))*(YEAR('OG T12'!$D$5:$P$5)=YEAR(K$6))),0)</f>
        <v/>
      </c>
      <c r="L45" s="51">
        <f>IFERROR(SUMPRODUCT((LEFT('OG T12'!$B$7:$B$226,LEN($B45))=$B45)*'OG T12'!$D$7:$P$226*(MONTH('OG T12'!$D$5:$P$5)=MONTH(L$6))*(YEAR('OG T12'!$D$5:$P$5)=YEAR(L$6))),0)</f>
        <v/>
      </c>
      <c r="M45" s="51">
        <f>IFERROR(SUMPRODUCT((LEFT('OG T12'!$B$7:$B$226,LEN($B45))=$B45)*'OG T12'!$D$7:$P$226*(MONTH('OG T12'!$D$5:$P$5)=MONTH(M$6))*(YEAR('OG T12'!$D$5:$P$5)=YEAR(M$6))),0)</f>
        <v/>
      </c>
      <c r="N45" s="51">
        <f>IFERROR(SUMPRODUCT((LEFT('OG T12'!$B$7:$B$226,LEN($B45))=$B45)*'OG T12'!$D$7:$P$226*(MONTH('OG T12'!$D$5:$P$5)=MONTH(N$6))*(YEAR('OG T12'!$D$5:$P$5)=YEAR(N$6))),0)</f>
        <v/>
      </c>
      <c r="O45" s="51">
        <f>IFERROR(SUMPRODUCT((LEFT('OG T12'!$B$7:$B$226,LEN($B45))=$B45)*'OG T12'!$D$7:$P$226*(MONTH('OG T12'!$D$5:$P$5)=MONTH(O$6))*(YEAR('OG T12'!$D$5:$P$5)=YEAR(O$6))),0)</f>
        <v/>
      </c>
      <c r="P45" s="51">
        <f>IF(SUMPRODUCT((LEFT('OG T12'!$B$7:$B$226,LEN($B45))=$B45)*ISNUMBER('OG T12'!$R$7:$R$226)*('OG T12'!$R$7:$R$226&lt;&gt;0))&gt;0,SUMPRODUCT(--(LEFT('OG T12'!$B$7:$B$226,LEN($B45))=$B45),'OG T12'!$R$7:$R$226),IF(COUNT(D45:O45)&gt;0,SUM(D45:O45),0))</f>
        <v/>
      </c>
      <c r="Q45" s="51">
        <f>IF(COUNT(G45:O45)&gt;0,SUM(G45:O45)/9*12,0)</f>
        <v/>
      </c>
      <c r="R45" s="51">
        <f>IF(COUNT(J45:O45)&gt;0,SUM(J45:O45)/6*12,0)</f>
        <v/>
      </c>
      <c r="S45" s="51">
        <f>IF(COUNT(M45:O45)&gt;0,SUM(M45:O45)/3*12,0)</f>
        <v/>
      </c>
      <c r="T45" s="52" t="n"/>
      <c r="U45" s="51">
        <f>IF($U$6="T9",IF(COUNT(D45:O45)&gt;0,Q45,P45),IF($U$6="T6",IF(COUNT(D45:O45)&gt;0,R45,P45),IF($U$6="T3",IF(COUNT(D45:O45)&gt;0,S45,P45),P45)))+T45</f>
        <v/>
      </c>
      <c r="V45" s="53">
        <f>IFERROR($U45/'Summary &amp; Assumptions'!$C$11,0)</f>
        <v/>
      </c>
      <c r="W45" s="52" t="n"/>
      <c r="X45" s="9" t="n"/>
      <c r="Y45" s="51">
        <f>IF($W45="",$U45,IF($X45="Total $",$W45,IF($X45="/ unit",$W45*'Summary &amp; Assumptions'!$C$11,IF($X45="% of EGR",$W45*'P&amp;L'!$U$28,IF($X45="/ SF",$W45*'Summary &amp; Assumptions'!$C$16,IF($X45="% of historicals",$W45*$U45,IF($X45="$ / occ. unit",$W45*'Summary &amp; Assumptions'!$C$15,$W45)))))))</f>
        <v/>
      </c>
      <c r="Z45" s="51">
        <f>CHOOSE($AA$4,N(AB45),N(AD45),N(AF45),N(AH45),N(AJ45))</f>
        <v/>
      </c>
      <c r="AA45" s="1" t="n"/>
      <c r="AB45" s="54">
        <f>IF(SUMIFS($W$51:$W$65,$X$51:$X$65,$B45)&gt;0,SUMIFS($W$51:$W$65,$X$51:$X$65,$B45),Y45)</f>
        <v/>
      </c>
      <c r="AC45" s="53">
        <f>IFERROR(AB45/'Summary &amp; Assumptions'!$C$11,0)</f>
        <v/>
      </c>
      <c r="AD45" s="52" t="n">
        <v>0</v>
      </c>
      <c r="AE45" s="53">
        <f>IFERROR(AD45/'Summary &amp; Assumptions'!$C$11,0)</f>
        <v/>
      </c>
      <c r="AF45" s="52" t="n"/>
      <c r="AG45" s="53">
        <f>IFERROR(AF45/'Summary &amp; Assumptions'!$C$11,0)</f>
        <v/>
      </c>
      <c r="AH45" s="52" t="n"/>
      <c r="AI45" s="53">
        <f>IFERROR(AH45/'Summary &amp; Assumptions'!$C$11,0)</f>
        <v/>
      </c>
      <c r="AJ45" s="52" t="n"/>
      <c r="AK45" s="53">
        <f>IFERROR(AJ45/'Summary &amp; Assumptions'!$C$11,0)</f>
        <v/>
      </c>
      <c r="AL45" s="1" t="n"/>
      <c r="AM45" s="1" t="n"/>
      <c r="AN45" s="13" t="n"/>
      <c r="AO45" s="14" t="n"/>
      <c r="AP45" s="9" t="n"/>
    </row>
    <row r="46">
      <c r="A46" s="1" t="n"/>
      <c r="B46" s="8" t="inlineStr">
        <is>
          <t>Property Management</t>
        </is>
      </c>
      <c r="C46" s="1" t="n"/>
      <c r="D46" s="51">
        <f>IFERROR(SUMPRODUCT((LEFT('OG T12'!$B$7:$B$226,LEN($B46))=$B46)*'OG T12'!$D$7:$P$226*(MONTH('OG T12'!$D$5:$P$5)=MONTH(D$6))*(YEAR('OG T12'!$D$5:$P$5)=YEAR(D$6))),0)</f>
        <v/>
      </c>
      <c r="E46" s="51">
        <f>IFERROR(SUMPRODUCT((LEFT('OG T12'!$B$7:$B$226,LEN($B46))=$B46)*'OG T12'!$D$7:$P$226*(MONTH('OG T12'!$D$5:$P$5)=MONTH(E$6))*(YEAR('OG T12'!$D$5:$P$5)=YEAR(E$6))),0)</f>
        <v/>
      </c>
      <c r="F46" s="51">
        <f>IFERROR(SUMPRODUCT((LEFT('OG T12'!$B$7:$B$226,LEN($B46))=$B46)*'OG T12'!$D$7:$P$226*(MONTH('OG T12'!$D$5:$P$5)=MONTH(F$6))*(YEAR('OG T12'!$D$5:$P$5)=YEAR(F$6))),0)</f>
        <v/>
      </c>
      <c r="G46" s="51">
        <f>IFERROR(SUMPRODUCT((LEFT('OG T12'!$B$7:$B$226,LEN($B46))=$B46)*'OG T12'!$D$7:$P$226*(MONTH('OG T12'!$D$5:$P$5)=MONTH(G$6))*(YEAR('OG T12'!$D$5:$P$5)=YEAR(G$6))),0)</f>
        <v/>
      </c>
      <c r="H46" s="51">
        <f>IFERROR(SUMPRODUCT((LEFT('OG T12'!$B$7:$B$226,LEN($B46))=$B46)*'OG T12'!$D$7:$P$226*(MONTH('OG T12'!$D$5:$P$5)=MONTH(H$6))*(YEAR('OG T12'!$D$5:$P$5)=YEAR(H$6))),0)</f>
        <v/>
      </c>
      <c r="I46" s="51">
        <f>IFERROR(SUMPRODUCT((LEFT('OG T12'!$B$7:$B$226,LEN($B46))=$B46)*'OG T12'!$D$7:$P$226*(MONTH('OG T12'!$D$5:$P$5)=MONTH(I$6))*(YEAR('OG T12'!$D$5:$P$5)=YEAR(I$6))),0)</f>
        <v/>
      </c>
      <c r="J46" s="51">
        <f>IFERROR(SUMPRODUCT((LEFT('OG T12'!$B$7:$B$226,LEN($B46))=$B46)*'OG T12'!$D$7:$P$226*(MONTH('OG T12'!$D$5:$P$5)=MONTH(J$6))*(YEAR('OG T12'!$D$5:$P$5)=YEAR(J$6))),0)</f>
        <v/>
      </c>
      <c r="K46" s="51">
        <f>IFERROR(SUMPRODUCT((LEFT('OG T12'!$B$7:$B$226,LEN($B46))=$B46)*'OG T12'!$D$7:$P$226*(MONTH('OG T12'!$D$5:$P$5)=MONTH(K$6))*(YEAR('OG T12'!$D$5:$P$5)=YEAR(K$6))),0)</f>
        <v/>
      </c>
      <c r="L46" s="51">
        <f>IFERROR(SUMPRODUCT((LEFT('OG T12'!$B$7:$B$226,LEN($B46))=$B46)*'OG T12'!$D$7:$P$226*(MONTH('OG T12'!$D$5:$P$5)=MONTH(L$6))*(YEAR('OG T12'!$D$5:$P$5)=YEAR(L$6))),0)</f>
        <v/>
      </c>
      <c r="M46" s="51">
        <f>IFERROR(SUMPRODUCT((LEFT('OG T12'!$B$7:$B$226,LEN($B46))=$B46)*'OG T12'!$D$7:$P$226*(MONTH('OG T12'!$D$5:$P$5)=MONTH(M$6))*(YEAR('OG T12'!$D$5:$P$5)=YEAR(M$6))),0)</f>
        <v/>
      </c>
      <c r="N46" s="51">
        <f>IFERROR(SUMPRODUCT((LEFT('OG T12'!$B$7:$B$226,LEN($B46))=$B46)*'OG T12'!$D$7:$P$226*(MONTH('OG T12'!$D$5:$P$5)=MONTH(N$6))*(YEAR('OG T12'!$D$5:$P$5)=YEAR(N$6))),0)</f>
        <v/>
      </c>
      <c r="O46" s="51">
        <f>IFERROR(SUMPRODUCT((LEFT('OG T12'!$B$7:$B$226,LEN($B46))=$B46)*'OG T12'!$D$7:$P$226*(MONTH('OG T12'!$D$5:$P$5)=MONTH(O$6))*(YEAR('OG T12'!$D$5:$P$5)=YEAR(O$6))),0)</f>
        <v/>
      </c>
      <c r="P46" s="51">
        <f>IF(SUMPRODUCT((LEFT('OG T12'!$B$7:$B$226,LEN($B46))=$B46)*ISNUMBER('OG T12'!$R$7:$R$226)*('OG T12'!$R$7:$R$226&lt;&gt;0))&gt;0,SUMPRODUCT(--(LEFT('OG T12'!$B$7:$B$226,LEN($B46))=$B46),'OG T12'!$R$7:$R$226),IF(COUNT(D46:O46)&gt;0,SUM(D46:O46),0))</f>
        <v/>
      </c>
      <c r="Q46" s="51">
        <f>IF(COUNT(G46:O46)&gt;0,SUM(G46:O46)/9*12,0)</f>
        <v/>
      </c>
      <c r="R46" s="51">
        <f>IF(COUNT(J46:O46)&gt;0,SUM(J46:O46)/6*12,0)</f>
        <v/>
      </c>
      <c r="S46" s="51">
        <f>IF(COUNT(M46:O46)&gt;0,SUM(M46:O46)/3*12,0)</f>
        <v/>
      </c>
      <c r="T46" s="52" t="n"/>
      <c r="U46" s="51">
        <f>IF($U$6="T9",IF(COUNT(D46:O46)&gt;0,Q46,P46),IF($U$6="T6",IF(COUNT(D46:O46)&gt;0,R46,P46),IF($U$6="T3",IF(COUNT(D46:O46)&gt;0,S46,P46),P46)))+T46</f>
        <v/>
      </c>
      <c r="V46" s="53">
        <f>IFERROR($U46/'Summary &amp; Assumptions'!$C$11,0)</f>
        <v/>
      </c>
      <c r="W46" s="52" t="n"/>
      <c r="X46" s="9" t="n"/>
      <c r="Y46" s="51">
        <f>IF($W46="",$U46,IF($X46="Total $",$W46,IF($X46="/ unit",$W46*'Summary &amp; Assumptions'!$C$11,IF($X46="% of EGR",$W46*'P&amp;L'!$U$28,IF($X46="/ SF",$W46*'Summary &amp; Assumptions'!$C$16,IF($X46="% of historicals",$W46*$U46,IF($X46="$ / occ. unit",$W46*'Summary &amp; Assumptions'!$C$15,$W46)))))))</f>
        <v/>
      </c>
      <c r="Z46" s="51">
        <f>CHOOSE($AA$4,N(AB46),N(AD46),N(AF46),N(AH46),N(AJ46))</f>
        <v/>
      </c>
      <c r="AA46" s="1" t="n"/>
      <c r="AB46" s="54">
        <f>IF(SUMIFS($W$51:$W$65,$X$51:$X$65,$B46)&gt;0,SUMIFS($W$51:$W$65,$X$51:$X$65,$B46),Y46)</f>
        <v/>
      </c>
      <c r="AC46" s="53">
        <f>IFERROR(AB46/'Summary &amp; Assumptions'!$C$11,0)</f>
        <v/>
      </c>
      <c r="AD46" s="52" t="n">
        <v>0</v>
      </c>
      <c r="AE46" s="53">
        <f>IFERROR(AD46/'Summary &amp; Assumptions'!$C$11,0)</f>
        <v/>
      </c>
      <c r="AF46" s="52" t="n"/>
      <c r="AG46" s="53">
        <f>IFERROR(AF46/'Summary &amp; Assumptions'!$C$11,0)</f>
        <v/>
      </c>
      <c r="AH46" s="52" t="n"/>
      <c r="AI46" s="53">
        <f>IFERROR(AH46/'Summary &amp; Assumptions'!$C$11,0)</f>
        <v/>
      </c>
      <c r="AJ46" s="52" t="n"/>
      <c r="AK46" s="53">
        <f>IFERROR(AJ46/'Summary &amp; Assumptions'!$C$11,0)</f>
        <v/>
      </c>
      <c r="AL46" s="1" t="n"/>
      <c r="AM46" s="1" t="n"/>
      <c r="AN46" s="13" t="n"/>
      <c r="AO46" s="14" t="n"/>
      <c r="AP46" s="9" t="n"/>
    </row>
    <row r="47">
      <c r="A47" s="1" t="n"/>
      <c r="B47" s="8" t="inlineStr">
        <is>
          <t>Other / Unmapped</t>
        </is>
      </c>
      <c r="C47" s="1" t="n"/>
      <c r="D47" s="51">
        <f>IFERROR(SUMPRODUCT((LEFT('OG T12'!$B$7:$B$226,LEN($B47))=$B47)*'OG T12'!$D$7:$P$226*(MONTH('OG T12'!$D$5:$P$5)=MONTH(D$6))*(YEAR('OG T12'!$D$5:$P$5)=YEAR(D$6))),0)</f>
        <v/>
      </c>
      <c r="E47" s="51">
        <f>IFERROR(SUMPRODUCT((LEFT('OG T12'!$B$7:$B$226,LEN($B47))=$B47)*'OG T12'!$D$7:$P$226*(MONTH('OG T12'!$D$5:$P$5)=MONTH(E$6))*(YEAR('OG T12'!$D$5:$P$5)=YEAR(E$6))),0)</f>
        <v/>
      </c>
      <c r="F47" s="51">
        <f>IFERROR(SUMPRODUCT((LEFT('OG T12'!$B$7:$B$226,LEN($B47))=$B47)*'OG T12'!$D$7:$P$226*(MONTH('OG T12'!$D$5:$P$5)=MONTH(F$6))*(YEAR('OG T12'!$D$5:$P$5)=YEAR(F$6))),0)</f>
        <v/>
      </c>
      <c r="G47" s="51">
        <f>IFERROR(SUMPRODUCT((LEFT('OG T12'!$B$7:$B$226,LEN($B47))=$B47)*'OG T12'!$D$7:$P$226*(MONTH('OG T12'!$D$5:$P$5)=MONTH(G$6))*(YEAR('OG T12'!$D$5:$P$5)=YEAR(G$6))),0)</f>
        <v/>
      </c>
      <c r="H47" s="51">
        <f>IFERROR(SUMPRODUCT((LEFT('OG T12'!$B$7:$B$226,LEN($B47))=$B47)*'OG T12'!$D$7:$P$226*(MONTH('OG T12'!$D$5:$P$5)=MONTH(H$6))*(YEAR('OG T12'!$D$5:$P$5)=YEAR(H$6))),0)</f>
        <v/>
      </c>
      <c r="I47" s="51">
        <f>IFERROR(SUMPRODUCT((LEFT('OG T12'!$B$7:$B$226,LEN($B47))=$B47)*'OG T12'!$D$7:$P$226*(MONTH('OG T12'!$D$5:$P$5)=MONTH(I$6))*(YEAR('OG T12'!$D$5:$P$5)=YEAR(I$6))),0)</f>
        <v/>
      </c>
      <c r="J47" s="51">
        <f>IFERROR(SUMPRODUCT((LEFT('OG T12'!$B$7:$B$226,LEN($B47))=$B47)*'OG T12'!$D$7:$P$226*(MONTH('OG T12'!$D$5:$P$5)=MONTH(J$6))*(YEAR('OG T12'!$D$5:$P$5)=YEAR(J$6))),0)</f>
        <v/>
      </c>
      <c r="K47" s="51">
        <f>IFERROR(SUMPRODUCT((LEFT('OG T12'!$B$7:$B$226,LEN($B47))=$B47)*'OG T12'!$D$7:$P$226*(MONTH('OG T12'!$D$5:$P$5)=MONTH(K$6))*(YEAR('OG T12'!$D$5:$P$5)=YEAR(K$6))),0)</f>
        <v/>
      </c>
      <c r="L47" s="51">
        <f>IFERROR(SUMPRODUCT((LEFT('OG T12'!$B$7:$B$226,LEN($B47))=$B47)*'OG T12'!$D$7:$P$226*(MONTH('OG T12'!$D$5:$P$5)=MONTH(L$6))*(YEAR('OG T12'!$D$5:$P$5)=YEAR(L$6))),0)</f>
        <v/>
      </c>
      <c r="M47" s="51">
        <f>IFERROR(SUMPRODUCT((LEFT('OG T12'!$B$7:$B$226,LEN($B47))=$B47)*'OG T12'!$D$7:$P$226*(MONTH('OG T12'!$D$5:$P$5)=MONTH(M$6))*(YEAR('OG T12'!$D$5:$P$5)=YEAR(M$6))),0)</f>
        <v/>
      </c>
      <c r="N47" s="51">
        <f>IFERROR(SUMPRODUCT((LEFT('OG T12'!$B$7:$B$226,LEN($B47))=$B47)*'OG T12'!$D$7:$P$226*(MONTH('OG T12'!$D$5:$P$5)=MONTH(N$6))*(YEAR('OG T12'!$D$5:$P$5)=YEAR(N$6))),0)</f>
        <v/>
      </c>
      <c r="O47" s="51">
        <f>IFERROR(SUMPRODUCT((LEFT('OG T12'!$B$7:$B$226,LEN($B47))=$B47)*'OG T12'!$D$7:$P$226*(MONTH('OG T12'!$D$5:$P$5)=MONTH(O$6))*(YEAR('OG T12'!$D$5:$P$5)=YEAR(O$6))),0)</f>
        <v/>
      </c>
      <c r="P47" s="51">
        <f>IF(SUMPRODUCT((LEFT('OG T12'!$B$7:$B$226,LEN($B47))=$B47)*ISNUMBER('OG T12'!$R$7:$R$226)*('OG T12'!$R$7:$R$226&lt;&gt;0))&gt;0,SUMPRODUCT(--(LEFT('OG T12'!$B$7:$B$226,LEN($B47))=$B47),'OG T12'!$R$7:$R$226),IF(COUNT(D47:O47)&gt;0,SUM(D47:O47),0))</f>
        <v/>
      </c>
      <c r="Q47" s="51">
        <f>IF(COUNT(G47:O47)&gt;0,SUM(G47:O47)/9*12,0)</f>
        <v/>
      </c>
      <c r="R47" s="51">
        <f>IF(COUNT(J47:O47)&gt;0,SUM(J47:O47)/6*12,0)</f>
        <v/>
      </c>
      <c r="S47" s="51">
        <f>IF(COUNT(M47:O47)&gt;0,SUM(M47:O47)/3*12,0)</f>
        <v/>
      </c>
      <c r="T47" s="52" t="n"/>
      <c r="U47" s="51">
        <f>IF($U$6="T9",IF(COUNT(D47:O47)&gt;0,Q47,P47),IF($U$6="T6",IF(COUNT(D47:O47)&gt;0,R47,P47),IF($U$6="T3",IF(COUNT(D47:O47)&gt;0,S47,P47),P47)))+T47</f>
        <v/>
      </c>
      <c r="V47" s="53">
        <f>IFERROR($U47/'Summary &amp; Assumptions'!$C$11,0)</f>
        <v/>
      </c>
      <c r="W47" s="52" t="n"/>
      <c r="X47" s="9" t="n"/>
      <c r="Y47" s="51">
        <f>IF($W47="",$U47,IF($X47="Total $",$W47,IF($X47="/ unit",$W47*'Summary &amp; Assumptions'!$C$11,IF($X47="% of EGR",$W47*'P&amp;L'!$U$28,IF($X47="/ SF",$W47*'Summary &amp; Assumptions'!$C$16,IF($X47="% of historicals",$W47*$U47,IF($X47="$ / occ. unit",$W47*'Summary &amp; Assumptions'!$C$15,$W47)))))))</f>
        <v/>
      </c>
      <c r="Z47" s="51">
        <f>CHOOSE($AA$4,N(AB47),N(AD47),N(AF47),N(AH47),N(AJ47))</f>
        <v/>
      </c>
      <c r="AA47" s="1" t="n"/>
      <c r="AB47" s="54">
        <f>IF(SUMIFS($W$51:$W$65,$X$51:$X$65,$B47)&gt;0,SUMIFS($W$51:$W$65,$X$51:$X$65,$B47),Y47)</f>
        <v/>
      </c>
      <c r="AC47" s="53">
        <f>IFERROR(AB47/'Summary &amp; Assumptions'!$C$11,0)</f>
        <v/>
      </c>
      <c r="AD47" s="52" t="n">
        <v>0</v>
      </c>
      <c r="AE47" s="53">
        <f>IFERROR(AD47/'Summary &amp; Assumptions'!$C$11,0)</f>
        <v/>
      </c>
      <c r="AF47" s="52" t="n"/>
      <c r="AG47" s="53">
        <f>IFERROR(AF47/'Summary &amp; Assumptions'!$C$11,0)</f>
        <v/>
      </c>
      <c r="AH47" s="52" t="n"/>
      <c r="AI47" s="53">
        <f>IFERROR(AH47/'Summary &amp; Assumptions'!$C$11,0)</f>
        <v/>
      </c>
      <c r="AJ47" s="52" t="n"/>
      <c r="AK47" s="53">
        <f>IFERROR(AJ47/'Summary &amp; Assumptions'!$C$11,0)</f>
        <v/>
      </c>
      <c r="AL47" s="1" t="n"/>
      <c r="AM47" s="1" t="n"/>
      <c r="AN47" s="13" t="n"/>
      <c r="AO47" s="14" t="n"/>
      <c r="AP47" s="9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</row>
    <row r="49" hidden="1" outlineLevel="1">
      <c r="A49" s="1" t="n"/>
      <c r="B49" s="6" t="inlineStr">
        <is>
          <t>Expense Detail (optional — overrides mapped lines)</t>
        </is>
      </c>
      <c r="C49" s="7" t="n"/>
      <c r="D49" s="7" t="n"/>
      <c r="E49" s="7" t="n"/>
      <c r="F49" s="7" t="n"/>
      <c r="G49" s="7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</row>
    <row r="50" hidden="1" outlineLevel="1">
      <c r="A50" s="1" t="n"/>
      <c r="B50" s="17" t="inlineStr">
        <is>
          <t>Description</t>
        </is>
      </c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7" t="inlineStr">
        <is>
          <t>Annual $</t>
        </is>
      </c>
      <c r="X50" s="17" t="inlineStr">
        <is>
          <t>Maps To</t>
        </is>
      </c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</row>
    <row r="51" hidden="1" outlineLevel="1">
      <c r="A51" s="1" t="n"/>
      <c r="B51" s="9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52" t="n"/>
      <c r="X51" s="9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</row>
    <row r="52" hidden="1" outlineLevel="1">
      <c r="A52" s="1" t="n"/>
      <c r="B52" s="9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52" t="n"/>
      <c r="X52" s="9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</row>
    <row r="53" hidden="1" outlineLevel="1">
      <c r="A53" s="1" t="n"/>
      <c r="B53" s="9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52" t="n"/>
      <c r="X53" s="9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</row>
    <row r="54" hidden="1" outlineLevel="1">
      <c r="A54" s="1" t="n"/>
      <c r="B54" s="9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52" t="n"/>
      <c r="X54" s="9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</row>
    <row r="55" hidden="1" outlineLevel="1">
      <c r="A55" s="1" t="n"/>
      <c r="B55" s="9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52" t="n"/>
      <c r="X55" s="9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</row>
    <row r="56" hidden="1" outlineLevel="1">
      <c r="A56" s="1" t="n"/>
      <c r="B56" s="9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52" t="n"/>
      <c r="X56" s="9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</row>
    <row r="57" hidden="1" outlineLevel="1">
      <c r="A57" s="1" t="n"/>
      <c r="B57" s="9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52" t="n"/>
      <c r="X57" s="9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</row>
    <row r="58" hidden="1" outlineLevel="1">
      <c r="A58" s="1" t="n"/>
      <c r="B58" s="9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  <c r="U58" s="1" t="n"/>
      <c r="V58" s="1" t="n"/>
      <c r="W58" s="52" t="n"/>
      <c r="X58" s="9" t="n"/>
      <c r="Y58" s="1" t="n"/>
      <c r="Z58" s="1" t="n"/>
      <c r="AA58" s="1" t="n"/>
      <c r="AB58" s="1" t="n"/>
      <c r="AC58" s="1" t="n"/>
      <c r="AD58" s="1" t="n"/>
      <c r="AE58" s="1" t="n"/>
      <c r="AF58" s="1" t="n"/>
      <c r="AG58" s="1" t="n"/>
      <c r="AH58" s="1" t="n"/>
      <c r="AI58" s="1" t="n"/>
      <c r="AJ58" s="1" t="n"/>
      <c r="AK58" s="1" t="n"/>
      <c r="AL58" s="1" t="n"/>
      <c r="AM58" s="1" t="n"/>
      <c r="AN58" s="1" t="n"/>
      <c r="AO58" s="1" t="n"/>
      <c r="AP58" s="1" t="n"/>
    </row>
    <row r="59" hidden="1" outlineLevel="1">
      <c r="A59" s="1" t="n"/>
      <c r="B59" s="9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  <c r="U59" s="1" t="n"/>
      <c r="V59" s="1" t="n"/>
      <c r="W59" s="52" t="n"/>
      <c r="X59" s="9" t="n"/>
      <c r="Y59" s="1" t="n"/>
      <c r="Z59" s="1" t="n"/>
      <c r="AA59" s="1" t="n"/>
      <c r="AB59" s="1" t="n"/>
      <c r="AC59" s="1" t="n"/>
      <c r="AD59" s="1" t="n"/>
      <c r="AE59" s="1" t="n"/>
      <c r="AF59" s="1" t="n"/>
      <c r="AG59" s="1" t="n"/>
      <c r="AH59" s="1" t="n"/>
      <c r="AI59" s="1" t="n"/>
      <c r="AJ59" s="1" t="n"/>
      <c r="AK59" s="1" t="n"/>
      <c r="AL59" s="1" t="n"/>
      <c r="AM59" s="1" t="n"/>
      <c r="AN59" s="1" t="n"/>
      <c r="AO59" s="1" t="n"/>
      <c r="AP59" s="1" t="n"/>
    </row>
    <row r="60" hidden="1" outlineLevel="1">
      <c r="A60" s="1" t="n"/>
      <c r="B60" s="9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  <c r="U60" s="1" t="n"/>
      <c r="V60" s="1" t="n"/>
      <c r="W60" s="52" t="n"/>
      <c r="X60" s="9" t="n"/>
      <c r="Y60" s="1" t="n"/>
      <c r="Z60" s="1" t="n"/>
      <c r="AA60" s="1" t="n"/>
      <c r="AB60" s="1" t="n"/>
      <c r="AC60" s="1" t="n"/>
      <c r="AD60" s="1" t="n"/>
      <c r="AE60" s="1" t="n"/>
      <c r="AF60" s="1" t="n"/>
      <c r="AG60" s="1" t="n"/>
      <c r="AH60" s="1" t="n"/>
      <c r="AI60" s="1" t="n"/>
      <c r="AJ60" s="1" t="n"/>
      <c r="AK60" s="1" t="n"/>
      <c r="AL60" s="1" t="n"/>
      <c r="AM60" s="1" t="n"/>
      <c r="AN60" s="1" t="n"/>
      <c r="AO60" s="1" t="n"/>
      <c r="AP60" s="1" t="n"/>
    </row>
    <row r="61" hidden="1" outlineLevel="1">
      <c r="A61" s="1" t="n"/>
      <c r="B61" s="9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  <c r="T61" s="1" t="n"/>
      <c r="U61" s="1" t="n"/>
      <c r="V61" s="1" t="n"/>
      <c r="W61" s="52" t="n"/>
      <c r="X61" s="9" t="n"/>
      <c r="Y61" s="1" t="n"/>
      <c r="Z61" s="1" t="n"/>
      <c r="AA61" s="1" t="n"/>
      <c r="AB61" s="1" t="n"/>
      <c r="AC61" s="1" t="n"/>
      <c r="AD61" s="1" t="n"/>
      <c r="AE61" s="1" t="n"/>
      <c r="AF61" s="1" t="n"/>
      <c r="AG61" s="1" t="n"/>
      <c r="AH61" s="1" t="n"/>
      <c r="AI61" s="1" t="n"/>
      <c r="AJ61" s="1" t="n"/>
      <c r="AK61" s="1" t="n"/>
      <c r="AL61" s="1" t="n"/>
      <c r="AM61" s="1" t="n"/>
      <c r="AN61" s="1" t="n"/>
      <c r="AO61" s="1" t="n"/>
      <c r="AP61" s="1" t="n"/>
    </row>
    <row r="62" hidden="1" outlineLevel="1">
      <c r="A62" s="1" t="n"/>
      <c r="B62" s="9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52" t="n"/>
      <c r="X62" s="9" t="n"/>
      <c r="Y62" s="1" t="n"/>
      <c r="Z62" s="1" t="n"/>
      <c r="AA62" s="1" t="n"/>
      <c r="AB62" s="1" t="n"/>
      <c r="AC62" s="1" t="n"/>
      <c r="AD62" s="1" t="n"/>
      <c r="AE62" s="1" t="n"/>
      <c r="AF62" s="1" t="n"/>
      <c r="AG62" s="1" t="n"/>
      <c r="AH62" s="1" t="n"/>
      <c r="AI62" s="1" t="n"/>
      <c r="AJ62" s="1" t="n"/>
      <c r="AK62" s="1" t="n"/>
      <c r="AL62" s="1" t="n"/>
      <c r="AM62" s="1" t="n"/>
      <c r="AN62" s="1" t="n"/>
      <c r="AO62" s="1" t="n"/>
      <c r="AP62" s="1" t="n"/>
    </row>
    <row r="63" hidden="1" outlineLevel="1">
      <c r="A63" s="1" t="n"/>
      <c r="B63" s="9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52" t="n"/>
      <c r="X63" s="9" t="n"/>
      <c r="Y63" s="1" t="n"/>
      <c r="Z63" s="1" t="n"/>
      <c r="AA63" s="1" t="n"/>
      <c r="AB63" s="1" t="n"/>
      <c r="AC63" s="1" t="n"/>
      <c r="AD63" s="1" t="n"/>
      <c r="AE63" s="1" t="n"/>
      <c r="AF63" s="1" t="n"/>
      <c r="AG63" s="1" t="n"/>
      <c r="AH63" s="1" t="n"/>
      <c r="AI63" s="1" t="n"/>
      <c r="AJ63" s="1" t="n"/>
      <c r="AK63" s="1" t="n"/>
      <c r="AL63" s="1" t="n"/>
      <c r="AM63" s="1" t="n"/>
      <c r="AN63" s="1" t="n"/>
      <c r="AO63" s="1" t="n"/>
      <c r="AP63" s="1" t="n"/>
    </row>
    <row r="64" hidden="1" outlineLevel="1">
      <c r="A64" s="1" t="n"/>
      <c r="B64" s="9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52" t="n"/>
      <c r="X64" s="9" t="n"/>
      <c r="Y64" s="1" t="n"/>
      <c r="Z64" s="1" t="n"/>
      <c r="AA64" s="1" t="n"/>
      <c r="AB64" s="1" t="n"/>
      <c r="AC64" s="1" t="n"/>
      <c r="AD64" s="1" t="n"/>
      <c r="AE64" s="1" t="n"/>
      <c r="AF64" s="1" t="n"/>
      <c r="AG64" s="1" t="n"/>
      <c r="AH64" s="1" t="n"/>
      <c r="AI64" s="1" t="n"/>
      <c r="AJ64" s="1" t="n"/>
      <c r="AK64" s="1" t="n"/>
      <c r="AL64" s="1" t="n"/>
      <c r="AM64" s="1" t="n"/>
      <c r="AN64" s="1" t="n"/>
      <c r="AO64" s="1" t="n"/>
      <c r="AP64" s="1" t="n"/>
    </row>
    <row r="65" hidden="1" outlineLevel="1">
      <c r="A65" s="1" t="n"/>
      <c r="B65" s="9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  <c r="R65" s="1" t="n"/>
      <c r="S65" s="1" t="n"/>
      <c r="T65" s="1" t="n"/>
      <c r="U65" s="1" t="n"/>
      <c r="V65" s="1" t="n"/>
      <c r="W65" s="52" t="n"/>
      <c r="X65" s="9" t="n"/>
      <c r="Y65" s="1" t="n"/>
      <c r="Z65" s="1" t="n"/>
      <c r="AA65" s="1" t="n"/>
      <c r="AB65" s="1" t="n"/>
      <c r="AC65" s="1" t="n"/>
      <c r="AD65" s="1" t="n"/>
      <c r="AE65" s="1" t="n"/>
      <c r="AF65" s="1" t="n"/>
      <c r="AG65" s="1" t="n"/>
      <c r="AH65" s="1" t="n"/>
      <c r="AI65" s="1" t="n"/>
      <c r="AJ65" s="1" t="n"/>
      <c r="AK65" s="1" t="n"/>
      <c r="AL65" s="1" t="n"/>
      <c r="AM65" s="1" t="n"/>
      <c r="AN65" s="1" t="n"/>
      <c r="AO65" s="1" t="n"/>
      <c r="AP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  <c r="N66" s="1" t="n"/>
      <c r="O66" s="1" t="n"/>
      <c r="P66" s="1" t="n"/>
      <c r="Q66" s="1" t="n"/>
      <c r="R66" s="1" t="n"/>
      <c r="S66" s="1" t="n"/>
      <c r="T66" s="1" t="n"/>
      <c r="U66" s="1" t="n"/>
      <c r="V66" s="1" t="n"/>
      <c r="W66" s="1" t="n"/>
      <c r="X66" s="1" t="n"/>
      <c r="Y66" s="1" t="n"/>
      <c r="Z66" s="1" t="n"/>
      <c r="AA66" s="1" t="n"/>
      <c r="AB66" s="1" t="n"/>
      <c r="AC66" s="1" t="n"/>
      <c r="AD66" s="1" t="n"/>
      <c r="AE66" s="1" t="n"/>
      <c r="AF66" s="1" t="n"/>
      <c r="AG66" s="1" t="n"/>
      <c r="AH66" s="1" t="n"/>
      <c r="AI66" s="1" t="n"/>
      <c r="AJ66" s="1" t="n"/>
      <c r="AK66" s="1" t="n"/>
      <c r="AL66" s="1" t="n"/>
      <c r="AM66" s="1" t="n"/>
      <c r="AN66" s="1" t="n"/>
      <c r="AO66" s="1" t="n"/>
      <c r="AP66" s="1" t="n"/>
    </row>
    <row r="67">
      <c r="A67" s="1" t="n"/>
      <c r="B67" s="17" t="inlineStr">
        <is>
          <t>Total Expenses</t>
        </is>
      </c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  <c r="R67" s="1" t="n"/>
      <c r="S67" s="1" t="n"/>
      <c r="T67" s="1" t="n"/>
      <c r="U67" s="55">
        <f>U31+U32+U33+U34+U38+U44+U45+U46+U47</f>
        <v/>
      </c>
      <c r="V67" s="53">
        <f>IFERROR($U67/'Summary &amp; Assumptions'!$C$11,0)</f>
        <v/>
      </c>
      <c r="W67" s="1" t="n"/>
      <c r="X67" s="1" t="n"/>
      <c r="Y67" s="1" t="n"/>
      <c r="Z67" s="55">
        <f>CHOOSE($AA$4,N(AB67),N(AD67),N(AF67),N(AH67),N(AJ67))</f>
        <v/>
      </c>
      <c r="AA67" s="1" t="n"/>
      <c r="AB67" s="55">
        <f>AB31+AB32+AB33+AB34+AB38+AB44+AB45+AB46+AB47</f>
        <v/>
      </c>
      <c r="AC67" s="53">
        <f>IFERROR(AB67/'Summary &amp; Assumptions'!$C$11,0)</f>
        <v/>
      </c>
      <c r="AD67" s="55">
        <f>'Preferences'!$C$38*AD28</f>
        <v/>
      </c>
      <c r="AE67" s="53">
        <f>IFERROR(AD67/'Summary &amp; Assumptions'!$C$11,0)</f>
        <v/>
      </c>
      <c r="AF67" s="55">
        <f>AF31+AF32+AF33+AF34+AF38+AF44+AF45+AF46+AF47</f>
        <v/>
      </c>
      <c r="AG67" s="53">
        <f>IFERROR(AF67/'Summary &amp; Assumptions'!$C$11,0)</f>
        <v/>
      </c>
      <c r="AH67" s="55">
        <f>AH31+AH32+AH33+AH34+AH38+AH44+AH45+AH46+AH47</f>
        <v/>
      </c>
      <c r="AI67" s="53">
        <f>IFERROR(AH67/'Summary &amp; Assumptions'!$C$11,0)</f>
        <v/>
      </c>
      <c r="AJ67" s="55">
        <f>AJ31+AJ32+AJ33+AJ34+AJ38+AJ44+AJ45+AJ46+AJ47</f>
        <v/>
      </c>
      <c r="AK67" s="53">
        <f>IFERROR(AJ67/'Summary &amp; Assumptions'!$C$11,0)</f>
        <v/>
      </c>
      <c r="AL67" s="1" t="n"/>
      <c r="AM67" s="1" t="n"/>
      <c r="AN67" s="1" t="n"/>
      <c r="AO67" s="1" t="n"/>
      <c r="AP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  <c r="N68" s="1" t="n"/>
      <c r="O68" s="1" t="n"/>
      <c r="P68" s="1" t="n"/>
      <c r="Q68" s="1" t="n"/>
      <c r="R68" s="1" t="n"/>
      <c r="S68" s="1" t="n"/>
      <c r="T68" s="1" t="n"/>
      <c r="U68" s="1" t="n"/>
      <c r="V68" s="1" t="n"/>
      <c r="W68" s="1" t="n"/>
      <c r="X68" s="1" t="n"/>
      <c r="Y68" s="1" t="n"/>
      <c r="Z68" s="1" t="n"/>
      <c r="AA68" s="1" t="n"/>
      <c r="AB68" s="1" t="n"/>
      <c r="AC68" s="1" t="n"/>
      <c r="AD68" s="1" t="n"/>
      <c r="AE68" s="1" t="n"/>
      <c r="AF68" s="1" t="n"/>
      <c r="AG68" s="1" t="n"/>
      <c r="AH68" s="1" t="n"/>
      <c r="AI68" s="1" t="n"/>
      <c r="AJ68" s="1" t="n"/>
      <c r="AK68" s="1" t="n"/>
      <c r="AL68" s="1" t="n"/>
      <c r="AM68" s="1" t="n"/>
      <c r="AN68" s="1" t="n"/>
      <c r="AO68" s="1" t="n"/>
      <c r="AP68" s="1" t="n"/>
    </row>
    <row r="69">
      <c r="A69" s="1" t="n"/>
      <c r="B69" s="17" t="inlineStr">
        <is>
          <t>Net Operating Income</t>
        </is>
      </c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  <c r="N69" s="1" t="n"/>
      <c r="O69" s="1" t="n"/>
      <c r="P69" s="1" t="n"/>
      <c r="Q69" s="1" t="n"/>
      <c r="R69" s="1" t="n"/>
      <c r="S69" s="1" t="n"/>
      <c r="T69" s="1" t="n"/>
      <c r="U69" s="43">
        <f>U28-U67</f>
        <v/>
      </c>
      <c r="V69" s="53">
        <f>IFERROR($U69/'Summary &amp; Assumptions'!$C$11,0)</f>
        <v/>
      </c>
      <c r="W69" s="1" t="n"/>
      <c r="X69" s="1" t="n"/>
      <c r="Y69" s="1" t="n"/>
      <c r="Z69" s="43">
        <f>CHOOSE($AA$4,N(AB69),N(AD69),N(AF69),N(AH69),N(AJ69))</f>
        <v/>
      </c>
      <c r="AA69" s="1" t="n"/>
      <c r="AB69" s="43">
        <f>AB28-AB67</f>
        <v/>
      </c>
      <c r="AC69" s="53">
        <f>IFERROR(AB69/'Summary &amp; Assumptions'!$C$11,0)</f>
        <v/>
      </c>
      <c r="AD69" s="43">
        <f>AD28-AD67</f>
        <v/>
      </c>
      <c r="AE69" s="53">
        <f>IFERROR(AD69/'Summary &amp; Assumptions'!$C$11,0)</f>
        <v/>
      </c>
      <c r="AF69" s="43">
        <f>AF28-AF67</f>
        <v/>
      </c>
      <c r="AG69" s="53">
        <f>IFERROR(AF69/'Summary &amp; Assumptions'!$C$11,0)</f>
        <v/>
      </c>
      <c r="AH69" s="43">
        <f>AH28-AH67</f>
        <v/>
      </c>
      <c r="AI69" s="53">
        <f>IFERROR(AH69/'Summary &amp; Assumptions'!$C$11,0)</f>
        <v/>
      </c>
      <c r="AJ69" s="43">
        <f>AJ28-AJ67</f>
        <v/>
      </c>
      <c r="AK69" s="53">
        <f>IFERROR(AJ69/'Summary &amp; Assumptions'!$C$11,0)</f>
        <v/>
      </c>
      <c r="AL69" s="1" t="n"/>
      <c r="AM69" s="1" t="n"/>
      <c r="AN69" s="1" t="n"/>
      <c r="AO69" s="1" t="n"/>
      <c r="AP69" s="1" t="n"/>
    </row>
  </sheetData>
  <sheetProtection selectLockedCells="1" selectUnlockedCells="0" algorithmName="SHA-512" sheet="1" objects="1" insertRows="1" insertHyperlinks="1" autoFilter="1" scenarios="1" formatColumns="0" deleteColumns="1" insertColumns="1" pivotTables="1" deleteRows="1" formatCells="0" saltValue="kR2Lz1QJEyJLiHJBsVqNvQ==" formatRows="0" sort="1" spinCount="100000" hashValue="Npj19r5N85qwBCk4c3p/jsOKtxM6e1g92r/EaiYi0mQDXZkMNPqE1mHXM8k0HpofVJF1JugduiuQXHm1M5sHLA=="/>
  <conditionalFormatting sqref="AB5:AB69">
    <cfRule type="expression" priority="1" dxfId="1" stopIfTrue="0">
      <formula>AB$5="In-Use"</formula>
    </cfRule>
  </conditionalFormatting>
  <conditionalFormatting sqref="AD5:AD69">
    <cfRule type="expression" priority="2" dxfId="1" stopIfTrue="0">
      <formula>AD$5="In-Use"</formula>
    </cfRule>
  </conditionalFormatting>
  <conditionalFormatting sqref="AF5:AF69">
    <cfRule type="expression" priority="3" dxfId="1" stopIfTrue="0">
      <formula>AF$5="In-Use"</formula>
    </cfRule>
  </conditionalFormatting>
  <conditionalFormatting sqref="AH5:AH69">
    <cfRule type="expression" priority="4" dxfId="1" stopIfTrue="0">
      <formula>AH$5="In-Use"</formula>
    </cfRule>
  </conditionalFormatting>
  <conditionalFormatting sqref="AJ5:AJ69">
    <cfRule type="expression" priority="5" dxfId="1" stopIfTrue="0">
      <formula>AJ$5="In-Use"</formula>
    </cfRule>
  </conditionalFormatting>
  <dataValidations count="4">
    <dataValidation sqref="U6" showDropDown="0" showInputMessage="0" showErrorMessage="0" allowBlank="1" type="list">
      <formula1>=lst_t12_basis</formula1>
    </dataValidation>
    <dataValidation sqref="AB4" showDropDown="0" showInputMessage="0" showErrorMessage="0" allowBlank="1" type="list">
      <formula1>=$AM$5:$AM$9</formula1>
    </dataValidation>
    <dataValidation sqref="X51:X65" showDropDown="0" showInputMessage="0" showErrorMessage="0" allowBlank="1" type="list">
      <formula1>=lst_expense_map</formula1>
    </dataValidation>
    <dataValidation sqref="X8:X69" showDropDown="0" showInputMessage="0" showErrorMessage="0" allowBlank="1" type="list">
      <formula1>=lst_calc_type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DDE5ED"/>
    <outlinePr summaryBelow="1" summaryRight="1"/>
    <pageSetUpPr/>
  </sheetPr>
  <dimension ref="A1:M3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 outlineLevelCol="0"/>
  <cols>
    <col width="2" customWidth="1" style="1" min="1" max="1"/>
    <col width="22" customWidth="1" style="1" min="2" max="2"/>
    <col width="7" customWidth="1" style="1" min="3" max="3"/>
    <col width="7" customWidth="1" style="1" min="4" max="4"/>
    <col width="9" customWidth="1" style="1" min="5" max="5"/>
    <col width="8" customWidth="1" style="1" min="6" max="6"/>
    <col width="8" customWidth="1" style="1" min="7" max="7"/>
    <col width="15" customWidth="1" style="1" min="8" max="8"/>
    <col width="14" customWidth="1" style="1" min="9" max="9"/>
    <col width="12" customWidth="1" style="1" min="10" max="10"/>
    <col width="9" customWidth="1" style="1" min="11" max="11"/>
    <col width="17" customWidth="1" style="1" min="12" max="12"/>
    <col width="13" customWidth="1" style="1" min="13" max="13"/>
    <col width="13" customWidth="1" style="1" min="14" max="14"/>
    <col width="13" customWidth="1" style="1" min="15" max="15"/>
    <col width="13" customWidth="1" style="1" min="16" max="16"/>
    <col width="13" customWidth="1" style="1" min="17" max="17"/>
    <col width="13" customWidth="1" style="1" min="18" max="18"/>
    <col width="13" customWidth="1" style="1" min="19" max="19"/>
    <col width="13" customWidth="1" style="1" min="20" max="20"/>
    <col width="13" customWidth="1" style="1" min="21" max="21"/>
    <col width="13" customWidth="1" style="1" min="22" max="22"/>
    <col width="13" customWidth="1" style="1" min="23" max="23"/>
    <col width="13" customWidth="1" style="1" min="24" max="24"/>
    <col width="13" customWidth="1" style="1" min="25" max="25"/>
    <col width="13" customWidth="1" style="1" min="26" max="26"/>
    <col width="13" customWidth="1" style="1" min="27" max="27"/>
    <col width="13" customWidth="1" style="1" min="28" max="28"/>
    <col width="13" customWidth="1" style="1" min="29" max="29"/>
    <col width="13" customWidth="1" style="1" min="30" max="30"/>
    <col width="13" customWidth="1" style="1" min="31" max="31"/>
    <col width="13" customWidth="1" style="1" min="32" max="32"/>
    <col width="13" customWidth="1" style="1" min="33" max="33"/>
    <col width="13" customWidth="1" style="1" min="34" max="34"/>
    <col width="13" customWidth="1" style="1" min="35" max="35"/>
    <col width="13" customWidth="1" style="1" min="36" max="36"/>
    <col width="13" customWidth="1" style="1" min="37" max="37"/>
    <col width="13" customWidth="1" style="1" min="38" max="38"/>
    <col width="13" customWidth="1" style="1" min="39" max="39"/>
    <col width="13" customWidth="1" style="1" min="40" max="40"/>
    <col width="13" customWidth="1" style="1" min="41" max="41"/>
    <col width="13" customWidth="1" style="1" min="42" max="42"/>
  </cols>
  <sheetData>
    <row r="1" ht="46" customHeight="1">
      <c r="A1" s="1" t="n"/>
      <c r="B1" s="2" t="n"/>
      <c r="C1" s="1" t="n"/>
      <c r="D1" s="3">
        <f>IF('Summary &amp; Assumptions'!$C$6="",IFERROR(LEFT('Summary &amp; Assumptions'!$C$7,FIND(",",'Summary &amp; Assumptions'!$C$7)-1),'Summary &amp; Assumptions'!$C$7),'Summary &amp; Assumptions'!$C$6)&amp;", "&amp;'Summary &amp; Assumptions'!$C$8&amp;", "&amp;'Summary &amp; Assumptions'!$C$9&amp;" - "&amp;'Summary &amp; Assumptions'!$C$11&amp;" Units - Built in "&amp;'Summary &amp; Assumptions'!$C$12</f>
        <v/>
      </c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>
      <c r="A2" s="1" t="n"/>
      <c r="B2" s="4" t="inlineStr">
        <is>
          <t>Unit Mix</t>
        </is>
      </c>
      <c r="C2" s="1" t="n"/>
      <c r="D2" s="5" t="inlineStr">
        <is>
          <t>View Dashboard on Slung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</row>
    <row r="3">
      <c r="A3" s="1" t="n"/>
      <c r="B3" s="3" t="inlineStr">
        <is>
          <t>Floor plans feed rent, embedded loss-to-lease and renovation. Growth curves live on the CashFlow tab, above the annual view.</t>
        </is>
      </c>
      <c r="C3" s="1" t="n"/>
      <c r="D3" s="1" t="n"/>
      <c r="E3" s="1" t="n"/>
      <c r="F3" s="1" t="n"/>
      <c r="G3" s="1" t="n"/>
      <c r="H3" s="1" t="n"/>
      <c r="I3" s="1" t="n"/>
      <c r="J3" s="17" t="inlineStr">
        <is>
          <t>Tied to Rent Roll</t>
        </is>
      </c>
      <c r="K3" s="1" t="n"/>
      <c r="L3" s="9" t="inlineStr">
        <is>
          <t>No</t>
        </is>
      </c>
      <c r="M3" s="1" t="n"/>
    </row>
    <row r="4">
      <c r="A4" s="1" t="n"/>
      <c r="B4" s="6" t="inlineStr">
        <is>
          <t>Unit Mix</t>
        </is>
      </c>
      <c r="C4" s="7" t="n"/>
      <c r="D4" s="7" t="n"/>
      <c r="E4" s="7" t="n"/>
      <c r="F4" s="7" t="n"/>
      <c r="G4" s="7" t="n"/>
      <c r="H4" s="7" t="n"/>
      <c r="I4" s="7" t="n"/>
      <c r="J4" s="7" t="n"/>
      <c r="K4" s="7" t="n"/>
      <c r="L4" s="7" t="n"/>
      <c r="M4" s="7" t="n"/>
    </row>
    <row r="5">
      <c r="A5" s="1" t="n"/>
      <c r="B5" s="22" t="inlineStr">
        <is>
          <t>Floor Plan</t>
        </is>
      </c>
      <c r="C5" s="22" t="inlineStr">
        <is>
          <t>Beds</t>
        </is>
      </c>
      <c r="D5" s="22" t="inlineStr">
        <is>
          <t>Baths</t>
        </is>
      </c>
      <c r="E5" s="22" t="inlineStr">
        <is>
          <t>Avg SF</t>
        </is>
      </c>
      <c r="F5" s="22" t="inlineStr">
        <is>
          <t>Units</t>
        </is>
      </c>
      <c r="G5" s="22" t="inlineStr">
        <is>
          <t>Vacant</t>
        </is>
      </c>
      <c r="H5" s="22" t="inlineStr">
        <is>
          <t>In-Place Rent /mo</t>
        </is>
      </c>
      <c r="I5" s="22" t="inlineStr">
        <is>
          <t>Mkt Rent /mo</t>
        </is>
      </c>
      <c r="J5" s="22" t="inlineStr">
        <is>
          <t>LTL /mo</t>
        </is>
      </c>
      <c r="K5" s="22" t="inlineStr">
        <is>
          <t>Rent $/SF</t>
        </is>
      </c>
      <c r="L5" s="22" t="inlineStr">
        <is>
          <t>GPR Annual (in-place)</t>
        </is>
      </c>
      <c r="M5" s="1" t="n"/>
    </row>
    <row r="6">
      <c r="A6" s="1" t="n"/>
      <c r="B6" s="9" t="n"/>
      <c r="C6" s="14" t="n"/>
      <c r="D6" s="56" t="n"/>
      <c r="E6" s="19" t="n"/>
      <c r="F6" s="14" t="n"/>
      <c r="G6" s="14">
        <f>IF(AND('UnitMix'!$L$3="Yes",$B6&lt;&gt;""),COUNTIFS('Rent Roll'!$C$6:$C$405,$B6,'Rent Roll'!$G$6:$G$405,"Vacant"),0)</f>
        <v/>
      </c>
      <c r="H6" s="10" t="n"/>
      <c r="I6" s="10" t="n"/>
      <c r="J6" s="12">
        <f>IF(AND(F6&gt;0,H6&gt;0,I6&gt;0),I6-H6,"")</f>
        <v/>
      </c>
      <c r="K6" s="57">
        <f>IF(E6&gt;0,H6/E6,"")</f>
        <v/>
      </c>
      <c r="L6" s="12">
        <f>IF(F6&gt;0,H6*F6*12,0)</f>
        <v/>
      </c>
      <c r="M6" s="1" t="n"/>
    </row>
    <row r="7">
      <c r="A7" s="1" t="n"/>
      <c r="B7" s="9" t="n"/>
      <c r="C7" s="14" t="n"/>
      <c r="D7" s="56" t="n"/>
      <c r="E7" s="19" t="n"/>
      <c r="F7" s="14" t="n"/>
      <c r="G7" s="14">
        <f>IF(AND('UnitMix'!$L$3="Yes",$B7&lt;&gt;""),COUNTIFS('Rent Roll'!$C$6:$C$405,$B7,'Rent Roll'!$G$6:$G$405,"Vacant"),0)</f>
        <v/>
      </c>
      <c r="H7" s="10" t="n"/>
      <c r="I7" s="10" t="n"/>
      <c r="J7" s="12">
        <f>IF(AND(F7&gt;0,H7&gt;0,I7&gt;0),I7-H7,"")</f>
        <v/>
      </c>
      <c r="K7" s="57">
        <f>IF(E7&gt;0,H7/E7,"")</f>
        <v/>
      </c>
      <c r="L7" s="12">
        <f>IF(F7&gt;0,H7*F7*12,0)</f>
        <v/>
      </c>
      <c r="M7" s="1" t="n"/>
    </row>
    <row r="8">
      <c r="A8" s="1" t="n"/>
      <c r="B8" s="9" t="n"/>
      <c r="C8" s="14" t="n"/>
      <c r="D8" s="56" t="n"/>
      <c r="E8" s="19" t="n"/>
      <c r="F8" s="14" t="n"/>
      <c r="G8" s="14">
        <f>IF(AND('UnitMix'!$L$3="Yes",$B8&lt;&gt;""),COUNTIFS('Rent Roll'!$C$6:$C$405,$B8,'Rent Roll'!$G$6:$G$405,"Vacant"),0)</f>
        <v/>
      </c>
      <c r="H8" s="10" t="n"/>
      <c r="I8" s="10" t="n"/>
      <c r="J8" s="12">
        <f>IF(AND(F8&gt;0,H8&gt;0,I8&gt;0),I8-H8,"")</f>
        <v/>
      </c>
      <c r="K8" s="57">
        <f>IF(E8&gt;0,H8/E8,"")</f>
        <v/>
      </c>
      <c r="L8" s="12">
        <f>IF(F8&gt;0,H8*F8*12,0)</f>
        <v/>
      </c>
      <c r="M8" s="1" t="n"/>
    </row>
    <row r="9">
      <c r="A9" s="1" t="n"/>
      <c r="B9" s="9" t="n"/>
      <c r="C9" s="14" t="n"/>
      <c r="D9" s="56" t="n"/>
      <c r="E9" s="19" t="n"/>
      <c r="F9" s="14" t="n"/>
      <c r="G9" s="14">
        <f>IF(AND('UnitMix'!$L$3="Yes",$B9&lt;&gt;""),COUNTIFS('Rent Roll'!$C$6:$C$405,$B9,'Rent Roll'!$G$6:$G$405,"Vacant"),0)</f>
        <v/>
      </c>
      <c r="H9" s="10" t="n"/>
      <c r="I9" s="10" t="n"/>
      <c r="J9" s="12">
        <f>IF(AND(F9&gt;0,H9&gt;0,I9&gt;0),I9-H9,"")</f>
        <v/>
      </c>
      <c r="K9" s="57">
        <f>IF(E9&gt;0,H9/E9,"")</f>
        <v/>
      </c>
      <c r="L9" s="12">
        <f>IF(F9&gt;0,H9*F9*12,0)</f>
        <v/>
      </c>
      <c r="M9" s="1" t="n"/>
    </row>
    <row r="10">
      <c r="A10" s="1" t="n"/>
      <c r="B10" s="9" t="n"/>
      <c r="C10" s="14" t="n"/>
      <c r="D10" s="56" t="n"/>
      <c r="E10" s="19" t="n"/>
      <c r="F10" s="14" t="n"/>
      <c r="G10" s="14">
        <f>IF(AND('UnitMix'!$L$3="Yes",$B10&lt;&gt;""),COUNTIFS('Rent Roll'!$C$6:$C$405,$B10,'Rent Roll'!$G$6:$G$405,"Vacant"),0)</f>
        <v/>
      </c>
      <c r="H10" s="10" t="n"/>
      <c r="I10" s="10" t="n"/>
      <c r="J10" s="12">
        <f>IF(AND(F10&gt;0,H10&gt;0,I10&gt;0),I10-H10,"")</f>
        <v/>
      </c>
      <c r="K10" s="57">
        <f>IF(E10&gt;0,H10/E10,"")</f>
        <v/>
      </c>
      <c r="L10" s="12">
        <f>IF(F10&gt;0,H10*F10*12,0)</f>
        <v/>
      </c>
      <c r="M10" s="1" t="n"/>
    </row>
    <row r="11">
      <c r="A11" s="1" t="n"/>
      <c r="B11" s="9" t="n"/>
      <c r="C11" s="14" t="n"/>
      <c r="D11" s="56" t="n"/>
      <c r="E11" s="19" t="n"/>
      <c r="F11" s="14" t="n"/>
      <c r="G11" s="14">
        <f>IF(AND('UnitMix'!$L$3="Yes",$B11&lt;&gt;""),COUNTIFS('Rent Roll'!$C$6:$C$405,$B11,'Rent Roll'!$G$6:$G$405,"Vacant"),0)</f>
        <v/>
      </c>
      <c r="H11" s="10" t="n"/>
      <c r="I11" s="10" t="n"/>
      <c r="J11" s="12">
        <f>IF(AND(F11&gt;0,H11&gt;0,I11&gt;0),I11-H11,"")</f>
        <v/>
      </c>
      <c r="K11" s="57">
        <f>IF(E11&gt;0,H11/E11,"")</f>
        <v/>
      </c>
      <c r="L11" s="12">
        <f>IF(F11&gt;0,H11*F11*12,0)</f>
        <v/>
      </c>
      <c r="M11" s="1" t="n"/>
    </row>
    <row r="12">
      <c r="A12" s="1" t="n"/>
      <c r="B12" s="9" t="n"/>
      <c r="C12" s="14" t="n"/>
      <c r="D12" s="56" t="n"/>
      <c r="E12" s="19" t="n"/>
      <c r="F12" s="14" t="n"/>
      <c r="G12" s="14">
        <f>IF(AND('UnitMix'!$L$3="Yes",$B12&lt;&gt;""),COUNTIFS('Rent Roll'!$C$6:$C$405,$B12,'Rent Roll'!$G$6:$G$405,"Vacant"),0)</f>
        <v/>
      </c>
      <c r="H12" s="10" t="n"/>
      <c r="I12" s="10" t="n"/>
      <c r="J12" s="12">
        <f>IF(AND(F12&gt;0,H12&gt;0,I12&gt;0),I12-H12,"")</f>
        <v/>
      </c>
      <c r="K12" s="57">
        <f>IF(E12&gt;0,H12/E12,"")</f>
        <v/>
      </c>
      <c r="L12" s="12">
        <f>IF(F12&gt;0,H12*F12*12,0)</f>
        <v/>
      </c>
      <c r="M12" s="1" t="n"/>
    </row>
    <row r="13">
      <c r="A13" s="1" t="n"/>
      <c r="B13" s="9" t="n"/>
      <c r="C13" s="14" t="n"/>
      <c r="D13" s="56" t="n"/>
      <c r="E13" s="19" t="n"/>
      <c r="F13" s="14" t="n"/>
      <c r="G13" s="14">
        <f>IF(AND('UnitMix'!$L$3="Yes",$B13&lt;&gt;""),COUNTIFS('Rent Roll'!$C$6:$C$405,$B13,'Rent Roll'!$G$6:$G$405,"Vacant"),0)</f>
        <v/>
      </c>
      <c r="H13" s="10" t="n"/>
      <c r="I13" s="10" t="n"/>
      <c r="J13" s="12">
        <f>IF(AND(F13&gt;0,H13&gt;0,I13&gt;0),I13-H13,"")</f>
        <v/>
      </c>
      <c r="K13" s="57">
        <f>IF(E13&gt;0,H13/E13,"")</f>
        <v/>
      </c>
      <c r="L13" s="12">
        <f>IF(F13&gt;0,H13*F13*12,0)</f>
        <v/>
      </c>
      <c r="M13" s="1" t="n"/>
    </row>
    <row r="14">
      <c r="A14" s="1" t="n"/>
      <c r="B14" s="9" t="n"/>
      <c r="C14" s="14" t="n"/>
      <c r="D14" s="56" t="n"/>
      <c r="E14" s="19" t="n"/>
      <c r="F14" s="14" t="n"/>
      <c r="G14" s="14">
        <f>IF(AND('UnitMix'!$L$3="Yes",$B14&lt;&gt;""),COUNTIFS('Rent Roll'!$C$6:$C$405,$B14,'Rent Roll'!$G$6:$G$405,"Vacant"),0)</f>
        <v/>
      </c>
      <c r="H14" s="10" t="n"/>
      <c r="I14" s="10" t="n"/>
      <c r="J14" s="12">
        <f>IF(AND(F14&gt;0,H14&gt;0,I14&gt;0),I14-H14,"")</f>
        <v/>
      </c>
      <c r="K14" s="57">
        <f>IF(E14&gt;0,H14/E14,"")</f>
        <v/>
      </c>
      <c r="L14" s="12">
        <f>IF(F14&gt;0,H14*F14*12,0)</f>
        <v/>
      </c>
      <c r="M14" s="1" t="n"/>
    </row>
    <row r="15">
      <c r="A15" s="1" t="n"/>
      <c r="B15" s="9" t="n"/>
      <c r="C15" s="14" t="n"/>
      <c r="D15" s="56" t="n"/>
      <c r="E15" s="19" t="n"/>
      <c r="F15" s="14" t="n"/>
      <c r="G15" s="14">
        <f>IF(AND('UnitMix'!$L$3="Yes",$B15&lt;&gt;""),COUNTIFS('Rent Roll'!$C$6:$C$405,$B15,'Rent Roll'!$G$6:$G$405,"Vacant"),0)</f>
        <v/>
      </c>
      <c r="H15" s="10" t="n"/>
      <c r="I15" s="10" t="n"/>
      <c r="J15" s="12">
        <f>IF(AND(F15&gt;0,H15&gt;0,I15&gt;0),I15-H15,"")</f>
        <v/>
      </c>
      <c r="K15" s="57">
        <f>IF(E15&gt;0,H15/E15,"")</f>
        <v/>
      </c>
      <c r="L15" s="12">
        <f>IF(F15&gt;0,H15*F15*12,0)</f>
        <v/>
      </c>
      <c r="M15" s="1" t="n"/>
    </row>
    <row r="16">
      <c r="A16" s="1" t="n"/>
      <c r="B16" s="9" t="n"/>
      <c r="C16" s="14" t="n"/>
      <c r="D16" s="56" t="n"/>
      <c r="E16" s="19" t="n"/>
      <c r="F16" s="14" t="n"/>
      <c r="G16" s="14">
        <f>IF(AND('UnitMix'!$L$3="Yes",$B16&lt;&gt;""),COUNTIFS('Rent Roll'!$C$6:$C$405,$B16,'Rent Roll'!$G$6:$G$405,"Vacant"),0)</f>
        <v/>
      </c>
      <c r="H16" s="10" t="n"/>
      <c r="I16" s="10" t="n"/>
      <c r="J16" s="12">
        <f>IF(AND(F16&gt;0,H16&gt;0,I16&gt;0),I16-H16,"")</f>
        <v/>
      </c>
      <c r="K16" s="57">
        <f>IF(E16&gt;0,H16/E16,"")</f>
        <v/>
      </c>
      <c r="L16" s="12">
        <f>IF(F16&gt;0,H16*F16*12,0)</f>
        <v/>
      </c>
      <c r="M16" s="1" t="n"/>
    </row>
    <row r="17">
      <c r="A17" s="1" t="n"/>
      <c r="B17" s="9" t="n"/>
      <c r="C17" s="14" t="n"/>
      <c r="D17" s="56" t="n"/>
      <c r="E17" s="19" t="n"/>
      <c r="F17" s="14" t="n"/>
      <c r="G17" s="14">
        <f>IF(AND('UnitMix'!$L$3="Yes",$B17&lt;&gt;""),COUNTIFS('Rent Roll'!$C$6:$C$405,$B17,'Rent Roll'!$G$6:$G$405,"Vacant"),0)</f>
        <v/>
      </c>
      <c r="H17" s="10" t="n"/>
      <c r="I17" s="10" t="n"/>
      <c r="J17" s="12">
        <f>IF(AND(F17&gt;0,H17&gt;0,I17&gt;0),I17-H17,"")</f>
        <v/>
      </c>
      <c r="K17" s="57">
        <f>IF(E17&gt;0,H17/E17,"")</f>
        <v/>
      </c>
      <c r="L17" s="12">
        <f>IF(F17&gt;0,H17*F17*12,0)</f>
        <v/>
      </c>
      <c r="M17" s="1" t="n"/>
    </row>
    <row r="18">
      <c r="A18" s="1" t="n"/>
      <c r="B18" s="9" t="n"/>
      <c r="C18" s="14" t="n"/>
      <c r="D18" s="56" t="n"/>
      <c r="E18" s="19" t="n"/>
      <c r="F18" s="14" t="n"/>
      <c r="G18" s="14">
        <f>IF(AND('UnitMix'!$L$3="Yes",$B18&lt;&gt;""),COUNTIFS('Rent Roll'!$C$6:$C$405,$B18,'Rent Roll'!$G$6:$G$405,"Vacant"),0)</f>
        <v/>
      </c>
      <c r="H18" s="10" t="n"/>
      <c r="I18" s="10" t="n"/>
      <c r="J18" s="12">
        <f>IF(AND(F18&gt;0,H18&gt;0,I18&gt;0),I18-H18,"")</f>
        <v/>
      </c>
      <c r="K18" s="57">
        <f>IF(E18&gt;0,H18/E18,"")</f>
        <v/>
      </c>
      <c r="L18" s="12">
        <f>IF(F18&gt;0,H18*F18*12,0)</f>
        <v/>
      </c>
      <c r="M18" s="1" t="n"/>
    </row>
    <row r="19">
      <c r="A19" s="1" t="n"/>
      <c r="B19" s="9" t="n"/>
      <c r="C19" s="14" t="n"/>
      <c r="D19" s="56" t="n"/>
      <c r="E19" s="19" t="n"/>
      <c r="F19" s="14" t="n"/>
      <c r="G19" s="14">
        <f>IF(AND('UnitMix'!$L$3="Yes",$B19&lt;&gt;""),COUNTIFS('Rent Roll'!$C$6:$C$405,$B19,'Rent Roll'!$G$6:$G$405,"Vacant"),0)</f>
        <v/>
      </c>
      <c r="H19" s="10" t="n"/>
      <c r="I19" s="10" t="n"/>
      <c r="J19" s="12">
        <f>IF(AND(F19&gt;0,H19&gt;0,I19&gt;0),I19-H19,"")</f>
        <v/>
      </c>
      <c r="K19" s="57">
        <f>IF(E19&gt;0,H19/E19,"")</f>
        <v/>
      </c>
      <c r="L19" s="12">
        <f>IF(F19&gt;0,H19*F19*12,0)</f>
        <v/>
      </c>
      <c r="M19" s="1" t="n"/>
    </row>
    <row r="20">
      <c r="A20" s="1" t="n"/>
      <c r="B20" s="9" t="n"/>
      <c r="C20" s="14" t="n"/>
      <c r="D20" s="56" t="n"/>
      <c r="E20" s="19" t="n"/>
      <c r="F20" s="14" t="n"/>
      <c r="G20" s="14">
        <f>IF(AND('UnitMix'!$L$3="Yes",$B20&lt;&gt;""),COUNTIFS('Rent Roll'!$C$6:$C$405,$B20,'Rent Roll'!$G$6:$G$405,"Vacant"),0)</f>
        <v/>
      </c>
      <c r="H20" s="10" t="n"/>
      <c r="I20" s="10" t="n"/>
      <c r="J20" s="12">
        <f>IF(AND(F20&gt;0,H20&gt;0,I20&gt;0),I20-H20,"")</f>
        <v/>
      </c>
      <c r="K20" s="57">
        <f>IF(E20&gt;0,H20/E20,"")</f>
        <v/>
      </c>
      <c r="L20" s="12">
        <f>IF(F20&gt;0,H20*F20*12,0)</f>
        <v/>
      </c>
      <c r="M20" s="1" t="n"/>
    </row>
    <row r="21">
      <c r="A21" s="1" t="n"/>
      <c r="B21" s="9" t="n"/>
      <c r="C21" s="14" t="n"/>
      <c r="D21" s="56" t="n"/>
      <c r="E21" s="19" t="n"/>
      <c r="F21" s="14" t="n"/>
      <c r="G21" s="14">
        <f>IF(AND('UnitMix'!$L$3="Yes",$B21&lt;&gt;""),COUNTIFS('Rent Roll'!$C$6:$C$405,$B21,'Rent Roll'!$G$6:$G$405,"Vacant"),0)</f>
        <v/>
      </c>
      <c r="H21" s="10" t="n"/>
      <c r="I21" s="10" t="n"/>
      <c r="J21" s="12">
        <f>IF(AND(F21&gt;0,H21&gt;0,I21&gt;0),I21-H21,"")</f>
        <v/>
      </c>
      <c r="K21" s="57">
        <f>IF(E21&gt;0,H21/E21,"")</f>
        <v/>
      </c>
      <c r="L21" s="12">
        <f>IF(F21&gt;0,H21*F21*12,0)</f>
        <v/>
      </c>
      <c r="M21" s="1" t="n"/>
    </row>
    <row r="22">
      <c r="A22" s="1" t="n"/>
      <c r="B22" s="9" t="n"/>
      <c r="C22" s="14" t="n"/>
      <c r="D22" s="56" t="n"/>
      <c r="E22" s="19" t="n"/>
      <c r="F22" s="14" t="n"/>
      <c r="G22" s="14">
        <f>IF(AND('UnitMix'!$L$3="Yes",$B22&lt;&gt;""),COUNTIFS('Rent Roll'!$C$6:$C$405,$B22,'Rent Roll'!$G$6:$G$405,"Vacant"),0)</f>
        <v/>
      </c>
      <c r="H22" s="10" t="n"/>
      <c r="I22" s="10" t="n"/>
      <c r="J22" s="12">
        <f>IF(AND(F22&gt;0,H22&gt;0,I22&gt;0),I22-H22,"")</f>
        <v/>
      </c>
      <c r="K22" s="57">
        <f>IF(E22&gt;0,H22/E22,"")</f>
        <v/>
      </c>
      <c r="L22" s="12">
        <f>IF(F22&gt;0,H22*F22*12,0)</f>
        <v/>
      </c>
      <c r="M22" s="1" t="n"/>
    </row>
    <row r="23">
      <c r="A23" s="1" t="n"/>
      <c r="B23" s="9" t="n"/>
      <c r="C23" s="14" t="n"/>
      <c r="D23" s="56" t="n"/>
      <c r="E23" s="19" t="n"/>
      <c r="F23" s="14" t="n"/>
      <c r="G23" s="14">
        <f>IF(AND('UnitMix'!$L$3="Yes",$B23&lt;&gt;""),COUNTIFS('Rent Roll'!$C$6:$C$405,$B23,'Rent Roll'!$G$6:$G$405,"Vacant"),0)</f>
        <v/>
      </c>
      <c r="H23" s="10" t="n"/>
      <c r="I23" s="10" t="n"/>
      <c r="J23" s="12">
        <f>IF(AND(F23&gt;0,H23&gt;0,I23&gt;0),I23-H23,"")</f>
        <v/>
      </c>
      <c r="K23" s="57">
        <f>IF(E23&gt;0,H23/E23,"")</f>
        <v/>
      </c>
      <c r="L23" s="12">
        <f>IF(F23&gt;0,H23*F23*12,0)</f>
        <v/>
      </c>
      <c r="M23" s="1" t="n"/>
    </row>
    <row r="24">
      <c r="A24" s="1" t="n"/>
      <c r="B24" s="9" t="n"/>
      <c r="C24" s="14" t="n"/>
      <c r="D24" s="56" t="n"/>
      <c r="E24" s="19" t="n"/>
      <c r="F24" s="14" t="n"/>
      <c r="G24" s="14">
        <f>IF(AND('UnitMix'!$L$3="Yes",$B24&lt;&gt;""),COUNTIFS('Rent Roll'!$C$6:$C$405,$B24,'Rent Roll'!$G$6:$G$405,"Vacant"),0)</f>
        <v/>
      </c>
      <c r="H24" s="10" t="n"/>
      <c r="I24" s="10" t="n"/>
      <c r="J24" s="12">
        <f>IF(AND(F24&gt;0,H24&gt;0,I24&gt;0),I24-H24,"")</f>
        <v/>
      </c>
      <c r="K24" s="57">
        <f>IF(E24&gt;0,H24/E24,"")</f>
        <v/>
      </c>
      <c r="L24" s="12">
        <f>IF(F24&gt;0,H24*F24*12,0)</f>
        <v/>
      </c>
      <c r="M24" s="1" t="n"/>
    </row>
    <row r="25">
      <c r="A25" s="1" t="n"/>
      <c r="B25" s="9" t="n"/>
      <c r="C25" s="14" t="n"/>
      <c r="D25" s="56" t="n"/>
      <c r="E25" s="19" t="n"/>
      <c r="F25" s="14" t="n"/>
      <c r="G25" s="14">
        <f>IF(AND('UnitMix'!$L$3="Yes",$B25&lt;&gt;""),COUNTIFS('Rent Roll'!$C$6:$C$405,$B25,'Rent Roll'!$G$6:$G$405,"Vacant"),0)</f>
        <v/>
      </c>
      <c r="H25" s="10" t="n"/>
      <c r="I25" s="10" t="n"/>
      <c r="J25" s="12">
        <f>IF(AND(F25&gt;0,H25&gt;0,I25&gt;0),I25-H25,"")</f>
        <v/>
      </c>
      <c r="K25" s="57">
        <f>IF(E25&gt;0,H25/E25,"")</f>
        <v/>
      </c>
      <c r="L25" s="12">
        <f>IF(F25&gt;0,H25*F25*12,0)</f>
        <v/>
      </c>
      <c r="M25" s="1" t="n"/>
    </row>
    <row r="26">
      <c r="A26" s="1" t="n"/>
      <c r="B26" s="9" t="n"/>
      <c r="C26" s="14" t="n"/>
      <c r="D26" s="56" t="n"/>
      <c r="E26" s="19" t="n"/>
      <c r="F26" s="14" t="n"/>
      <c r="G26" s="14">
        <f>IF(AND('UnitMix'!$L$3="Yes",$B26&lt;&gt;""),COUNTIFS('Rent Roll'!$C$6:$C$405,$B26,'Rent Roll'!$G$6:$G$405,"Vacant"),0)</f>
        <v/>
      </c>
      <c r="H26" s="10" t="n"/>
      <c r="I26" s="10" t="n"/>
      <c r="J26" s="12">
        <f>IF(AND(F26&gt;0,H26&gt;0,I26&gt;0),I26-H26,"")</f>
        <v/>
      </c>
      <c r="K26" s="57">
        <f>IF(E26&gt;0,H26/E26,"")</f>
        <v/>
      </c>
      <c r="L26" s="12">
        <f>IF(F26&gt;0,H26*F26*12,0)</f>
        <v/>
      </c>
      <c r="M26" s="1" t="n"/>
    </row>
    <row r="27">
      <c r="A27" s="1" t="n"/>
      <c r="B27" s="9" t="n"/>
      <c r="C27" s="14" t="n"/>
      <c r="D27" s="56" t="n"/>
      <c r="E27" s="19" t="n"/>
      <c r="F27" s="14" t="n"/>
      <c r="G27" s="14">
        <f>IF(AND('UnitMix'!$L$3="Yes",$B27&lt;&gt;""),COUNTIFS('Rent Roll'!$C$6:$C$405,$B27,'Rent Roll'!$G$6:$G$405,"Vacant"),0)</f>
        <v/>
      </c>
      <c r="H27" s="10" t="n"/>
      <c r="I27" s="10" t="n"/>
      <c r="J27" s="12">
        <f>IF(AND(F27&gt;0,H27&gt;0,I27&gt;0),I27-H27,"")</f>
        <v/>
      </c>
      <c r="K27" s="57">
        <f>IF(E27&gt;0,H27/E27,"")</f>
        <v/>
      </c>
      <c r="L27" s="12">
        <f>IF(F27&gt;0,H27*F27*12,0)</f>
        <v/>
      </c>
      <c r="M27" s="1" t="n"/>
    </row>
    <row r="28">
      <c r="A28" s="1" t="n"/>
      <c r="B28" s="9" t="n"/>
      <c r="C28" s="14" t="n"/>
      <c r="D28" s="56" t="n"/>
      <c r="E28" s="19" t="n"/>
      <c r="F28" s="14" t="n"/>
      <c r="G28" s="14">
        <f>IF(AND('UnitMix'!$L$3="Yes",$B28&lt;&gt;""),COUNTIFS('Rent Roll'!$C$6:$C$405,$B28,'Rent Roll'!$G$6:$G$405,"Vacant"),0)</f>
        <v/>
      </c>
      <c r="H28" s="10" t="n"/>
      <c r="I28" s="10" t="n"/>
      <c r="J28" s="12">
        <f>IF(AND(F28&gt;0,H28&gt;0,I28&gt;0),I28-H28,"")</f>
        <v/>
      </c>
      <c r="K28" s="57">
        <f>IF(E28&gt;0,H28/E28,"")</f>
        <v/>
      </c>
      <c r="L28" s="12">
        <f>IF(F28&gt;0,H28*F28*12,0)</f>
        <v/>
      </c>
      <c r="M28" s="1" t="n"/>
    </row>
    <row r="29">
      <c r="A29" s="1" t="n"/>
      <c r="B29" s="9" t="n"/>
      <c r="C29" s="14" t="n"/>
      <c r="D29" s="56" t="n"/>
      <c r="E29" s="19" t="n"/>
      <c r="F29" s="14" t="n"/>
      <c r="G29" s="14">
        <f>IF(AND('UnitMix'!$L$3="Yes",$B29&lt;&gt;""),COUNTIFS('Rent Roll'!$C$6:$C$405,$B29,'Rent Roll'!$G$6:$G$405,"Vacant"),0)</f>
        <v/>
      </c>
      <c r="H29" s="10" t="n"/>
      <c r="I29" s="10" t="n"/>
      <c r="J29" s="12">
        <f>IF(AND(F29&gt;0,H29&gt;0,I29&gt;0),I29-H29,"")</f>
        <v/>
      </c>
      <c r="K29" s="57">
        <f>IF(E29&gt;0,H29/E29,"")</f>
        <v/>
      </c>
      <c r="L29" s="12">
        <f>IF(F29&gt;0,H29*F29*12,0)</f>
        <v/>
      </c>
      <c r="M29" s="1" t="n"/>
    </row>
    <row r="30">
      <c r="A30" s="1" t="n"/>
      <c r="B30" s="9" t="n"/>
      <c r="C30" s="14" t="n"/>
      <c r="D30" s="56" t="n"/>
      <c r="E30" s="19" t="n"/>
      <c r="F30" s="14" t="n"/>
      <c r="G30" s="14">
        <f>IF(AND('UnitMix'!$L$3="Yes",$B30&lt;&gt;""),COUNTIFS('Rent Roll'!$C$6:$C$405,$B30,'Rent Roll'!$G$6:$G$405,"Vacant"),0)</f>
        <v/>
      </c>
      <c r="H30" s="10" t="n"/>
      <c r="I30" s="10" t="n"/>
      <c r="J30" s="12">
        <f>IF(AND(F30&gt;0,H30&gt;0,I30&gt;0),I30-H30,"")</f>
        <v/>
      </c>
      <c r="K30" s="57">
        <f>IF(E30&gt;0,H30/E30,"")</f>
        <v/>
      </c>
      <c r="L30" s="12">
        <f>IF(F30&gt;0,H30*F30*12,0)</f>
        <v/>
      </c>
      <c r="M30" s="1" t="n"/>
    </row>
    <row r="31">
      <c r="A31" s="1" t="n"/>
      <c r="B31" s="58" t="inlineStr">
        <is>
          <t>Total / Wtd Avg</t>
        </is>
      </c>
      <c r="C31" s="59" t="n"/>
      <c r="D31" s="60" t="n"/>
      <c r="E31" s="61">
        <f>IFERROR(SUMPRODUCT(E6:E30,F6:F30)/F31,0)</f>
        <v/>
      </c>
      <c r="F31" s="59">
        <f>SUM(F6:F30)</f>
        <v/>
      </c>
      <c r="G31" s="59">
        <f>SUM(G6:G30)</f>
        <v/>
      </c>
      <c r="H31" s="62">
        <f>IFERROR(SUMPRODUCT(H6:H30,F6:F30)/F31,0)</f>
        <v/>
      </c>
      <c r="I31" s="62">
        <f>IFERROR(SUMPRODUCT(I6:I30,F6:F30)/F31,0)</f>
        <v/>
      </c>
      <c r="J31" s="62">
        <f>SUMPRODUCT((F6:F30&gt;0)*(H6:H30&gt;0)*(I6:I30&gt;0)*(F6:F30&gt;G6:G30*(G6:G30&gt;0))*(I6:I30-H6:H30),F6:F30-G6:G30*(G6:G30&gt;0))</f>
        <v/>
      </c>
      <c r="K31" s="63" t="n"/>
      <c r="L31" s="62">
        <f>SUM(L6:L30)</f>
        <v/>
      </c>
      <c r="M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</row>
    <row r="33">
      <c r="A33" s="1" t="n"/>
      <c r="B33" s="3" t="inlineStr">
        <is>
          <t>Tie-out vs Assumptions units:</t>
        </is>
      </c>
      <c r="C33" s="1" t="n"/>
      <c r="D33" s="3">
        <f>IF('Summary &amp; Assumptions'!$C$11=F31,"OK","MISMATCH: "&amp;'Summary &amp; Assumptions'!$C$11-F31)</f>
        <v/>
      </c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</row>
  </sheetData>
  <sheetProtection selectLockedCells="1" selectUnlockedCells="0" algorithmName="SHA-512" sheet="1" objects="1" insertRows="1" insertHyperlinks="1" autoFilter="1" scenarios="1" formatColumns="0" deleteColumns="1" insertColumns="1" pivotTables="1" deleteRows="1" formatCells="0" saltValue="kR2Lz1QJEyJLiHJBsVqNvQ==" formatRows="0" sort="1" spinCount="100000" hashValue="Npj19r5N85qwBCk4c3p/jsOKtxM6e1g92r/EaiYi0mQDXZkMNPqE1mHXM8k0HpofVJF1JugduiuQXHm1M5sHLA=="/>
  <conditionalFormatting sqref="L3">
    <cfRule type="expression" priority="1" dxfId="2">
      <formula>$L$3="Yes"</formula>
    </cfRule>
    <cfRule type="expression" priority="2" dxfId="3">
      <formula>$L$3="No"</formula>
    </cfRule>
  </conditionalFormatting>
  <dataValidations count="1">
    <dataValidation sqref="L3" showDropDown="0" showInputMessage="0" showErrorMessage="0" allowBlank="0" type="list">
      <formula1>=lst_yn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DDE5ED"/>
    <outlinePr summaryBelow="1" summaryRight="1"/>
    <pageSetUpPr/>
  </sheetPr>
  <dimension ref="A1:T5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 outlineLevelCol="0"/>
  <cols>
    <col width="2" customWidth="1" style="1" min="1" max="1"/>
    <col width="24" customWidth="1" style="1" min="2" max="2"/>
    <col width="9" customWidth="1" style="1" min="3" max="3"/>
    <col width="10" customWidth="1" style="1" min="4" max="4"/>
    <col width="12" customWidth="1" style="1" min="5" max="5"/>
    <col width="13" customWidth="1" style="1" min="6" max="6"/>
    <col width="11" customWidth="1" style="1" min="7" max="7"/>
    <col width="11" customWidth="1" style="1" min="8" max="8"/>
    <col width="12" customWidth="1" style="1" min="9" max="9"/>
    <col width="13" customWidth="1" style="1" min="10" max="10"/>
    <col width="15" customWidth="1" style="1" min="11" max="11"/>
    <col width="16" customWidth="1" style="1" min="12" max="12"/>
    <col width="14" customWidth="1" style="1" min="13" max="13"/>
    <col width="18" customWidth="1" style="1" min="14" max="14"/>
    <col width="11" customWidth="1" style="1" min="15" max="15"/>
    <col hidden="1" width="13" customWidth="1" style="1" min="16" max="16"/>
    <col width="32" customWidth="1" style="1" min="17" max="17"/>
    <col hidden="1" width="13" customWidth="1" style="1" min="18" max="18"/>
    <col hidden="1" width="13" customWidth="1" style="1" min="19" max="19"/>
    <col hidden="1" width="13" customWidth="1" style="1" min="20" max="20"/>
    <col width="13" customWidth="1" style="1" min="21" max="21"/>
    <col width="13" customWidth="1" style="1" min="22" max="22"/>
    <col width="13" customWidth="1" style="1" min="23" max="23"/>
    <col width="13" customWidth="1" style="1" min="24" max="24"/>
    <col width="13" customWidth="1" style="1" min="25" max="25"/>
    <col width="13" customWidth="1" style="1" min="26" max="26"/>
    <col width="13" customWidth="1" style="1" min="27" max="27"/>
    <col width="13" customWidth="1" style="1" min="28" max="28"/>
    <col width="13" customWidth="1" style="1" min="29" max="29"/>
    <col width="13" customWidth="1" style="1" min="30" max="30"/>
    <col width="13" customWidth="1" style="1" min="31" max="31"/>
    <col width="13" customWidth="1" style="1" min="32" max="32"/>
    <col width="13" customWidth="1" style="1" min="33" max="33"/>
    <col width="13" customWidth="1" style="1" min="34" max="34"/>
    <col width="13" customWidth="1" style="1" min="35" max="35"/>
    <col width="13" customWidth="1" style="1" min="36" max="36"/>
    <col width="13" customWidth="1" style="1" min="37" max="37"/>
    <col width="13" customWidth="1" style="1" min="38" max="38"/>
    <col width="13" customWidth="1" style="1" min="39" max="39"/>
    <col width="13" customWidth="1" style="1" min="40" max="40"/>
    <col width="13" customWidth="1" style="1" min="41" max="41"/>
    <col width="13" customWidth="1" style="1" min="42" max="42"/>
    <col width="13" customWidth="1" style="1" min="43" max="43"/>
    <col width="13" customWidth="1" style="1" min="44" max="44"/>
    <col width="13" customWidth="1" style="1" min="45" max="45"/>
    <col width="13" customWidth="1" style="1" min="46" max="46"/>
    <col width="13" customWidth="1" style="1" min="47" max="47"/>
    <col width="13" customWidth="1" style="1" min="48" max="48"/>
    <col width="13" customWidth="1" style="1" min="49" max="49"/>
  </cols>
  <sheetData>
    <row r="1" ht="46" customHeight="1">
      <c r="A1" s="1" t="n"/>
      <c r="B1" s="2" t="n"/>
      <c r="C1" s="1" t="n"/>
      <c r="D1" s="3">
        <f>IF('Summary &amp; Assumptions'!$C$6="",IFERROR(LEFT('Summary &amp; Assumptions'!$C$7,FIND(",",'Summary &amp; Assumptions'!$C$7)-1),'Summary &amp; Assumptions'!$C$7),'Summary &amp; Assumptions'!$C$6)&amp;", "&amp;'Summary &amp; Assumptions'!$C$8&amp;", "&amp;'Summary &amp; Assumptions'!$C$9&amp;" - "&amp;'Summary &amp; Assumptions'!$C$11&amp;" Units - Built in "&amp;'Summary &amp; Assumptions'!$C$12</f>
        <v/>
      </c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</row>
    <row r="2">
      <c r="A2" s="1" t="n"/>
      <c r="B2" s="4" t="inlineStr">
        <is>
          <t>Renovation Program</t>
        </is>
      </c>
      <c r="C2" s="1" t="n"/>
      <c r="D2" s="5" t="inlineStr">
        <is>
          <t>View Dashboard on Slung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</row>
    <row r="3">
      <c r="A3" s="1" t="n"/>
      <c r="B3" s="3" t="inlineStr">
        <is>
          <t>Velocity, downtime and premiums flow into the monthly engine. Debt funding set per loan on Assumptions (Reno Draw Facility).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</row>
    <row r="4">
      <c r="A4" s="1" t="n"/>
      <c r="B4" s="6" t="inlineStr">
        <is>
          <t>Unit Renovation Scopes</t>
        </is>
      </c>
      <c r="C4" s="7" t="n"/>
      <c r="D4" s="7" t="n"/>
      <c r="E4" s="7" t="n"/>
      <c r="F4" s="7" t="n"/>
      <c r="G4" s="7" t="n"/>
      <c r="H4" s="7" t="n"/>
      <c r="I4" s="7" t="n"/>
      <c r="J4" s="7" t="n"/>
      <c r="K4" s="7" t="n"/>
      <c r="L4" s="7" t="n"/>
      <c r="M4" s="7" t="n"/>
      <c r="N4" s="7" t="n"/>
      <c r="O4" s="7" t="n"/>
      <c r="P4" s="7" t="n"/>
      <c r="Q4" s="7" t="n"/>
      <c r="R4" s="1" t="n"/>
      <c r="S4" s="1" t="n"/>
      <c r="T4" s="1" t="n"/>
    </row>
    <row r="5" ht="30" customHeight="1">
      <c r="A5" s="1" t="n"/>
      <c r="B5" s="64" t="inlineStr">
        <is>
          <t>Scope / Floor Plan</t>
        </is>
      </c>
      <c r="C5" s="64" t="inlineStr">
        <is>
          <t>Units</t>
        </is>
      </c>
      <c r="D5" s="64" t="inlineStr">
        <is>
          <t>Reno Units</t>
        </is>
      </c>
      <c r="E5" s="64" t="inlineStr">
        <is>
          <t>Cost / Unit</t>
        </is>
      </c>
      <c r="F5" s="64" t="inlineStr">
        <is>
          <t>Total Cost</t>
        </is>
      </c>
      <c r="G5" s="64" t="inlineStr">
        <is>
          <t>Start Year</t>
        </is>
      </c>
      <c r="H5" s="64" t="inlineStr">
        <is>
          <t>End Year</t>
        </is>
      </c>
      <c r="I5" s="64" t="inlineStr">
        <is>
          <t>Units / Year</t>
        </is>
      </c>
      <c r="J5" s="64" t="inlineStr">
        <is>
          <t>Downtime (days)</t>
        </is>
      </c>
      <c r="K5" s="64" t="inlineStr">
        <is>
          <t>Cost of Downtime</t>
        </is>
      </c>
      <c r="L5" s="64" t="inlineStr">
        <is>
          <t>Premium $/mo (over classic)</t>
        </is>
      </c>
      <c r="M5" s="64" t="inlineStr">
        <is>
          <t>Downtime $ / Year</t>
        </is>
      </c>
      <c r="N5" s="64" t="inlineStr">
        <is>
          <t>Annual Premium (stab.)</t>
        </is>
      </c>
      <c r="O5" s="64" t="inlineStr">
        <is>
          <t>Simple ROI</t>
        </is>
      </c>
      <c r="P5" s="1" t="n"/>
      <c r="Q5" s="64" t="inlineStr">
        <is>
          <t>Notes</t>
        </is>
      </c>
      <c r="R5" s="1" t="n"/>
      <c r="S5" s="64" t="inlineStr">
        <is>
          <t>Start Yr (blank=9999)</t>
        </is>
      </c>
      <c r="T5" s="64" t="inlineStr">
        <is>
          <t>End Yr (blank=0)</t>
        </is>
      </c>
    </row>
    <row r="6">
      <c r="A6" s="1" t="n"/>
      <c r="B6" s="9" t="n"/>
      <c r="C6" s="65">
        <f>IF($B6="",0,IFERROR(VLOOKUP($B6,UnitMix!$B$6:$F$30,5,FALSE),SUMIFS(UnitMix!$F$6:$F$30,UnitMix!$C$6:$C$30,IFERROR(VALUE(LEFT($B6,1)),-1))))</f>
        <v/>
      </c>
      <c r="D6" s="14">
        <f>C6</f>
        <v/>
      </c>
      <c r="E6" s="10" t="n"/>
      <c r="F6" s="12">
        <f>IF(D6&gt;0,D6*E6,0)</f>
        <v/>
      </c>
      <c r="G6" s="14" t="n"/>
      <c r="H6" s="14" t="n"/>
      <c r="I6" s="66">
        <f>IFERROR($D6/MAX(1,$H6-$G6+1),0)</f>
        <v/>
      </c>
      <c r="J6" s="14" t="n"/>
      <c r="K6" s="12">
        <f>IFERROR($D6*($J6/30)*VLOOKUP($B6,UnitMix!$B$6:$J$30,7,FALSE),0)</f>
        <v/>
      </c>
      <c r="L6" s="10" t="n"/>
      <c r="M6" s="12">
        <f>IFERROR($K6/MAX(1,$H6-$G6+1),0)</f>
        <v/>
      </c>
      <c r="N6" s="12">
        <f>D6*L6*12</f>
        <v/>
      </c>
      <c r="O6" s="67">
        <f>IFERROR(N6/F6,"")</f>
        <v/>
      </c>
      <c r="P6" s="1">
        <f>IF(COUNTIF(UnitMix!$C$6:$C$30,0)&gt;0,"0 Bed","")</f>
        <v/>
      </c>
      <c r="Q6" s="9" t="n"/>
      <c r="R6" s="1">
        <f>IFERROR(L6/'UnitMix'!$I$31,"")</f>
        <v/>
      </c>
      <c r="S6" s="68">
        <f>IF($D6&gt;0,$G6,9999)</f>
        <v/>
      </c>
      <c r="T6" s="68">
        <f>IF($D6&gt;0,$H6,0)</f>
        <v/>
      </c>
    </row>
    <row r="7">
      <c r="A7" s="1" t="n"/>
      <c r="B7" s="9" t="n"/>
      <c r="C7" s="65">
        <f>IF($B7="",0,IFERROR(VLOOKUP($B7,UnitMix!$B$6:$F$30,5,FALSE),SUMIFS(UnitMix!$F$6:$F$30,UnitMix!$C$6:$C$30,IFERROR(VALUE(LEFT($B7,1)),-1))))</f>
        <v/>
      </c>
      <c r="D7" s="14">
        <f>C7</f>
        <v/>
      </c>
      <c r="E7" s="10" t="n"/>
      <c r="F7" s="12">
        <f>IF(D7&gt;0,D7*E7,0)</f>
        <v/>
      </c>
      <c r="G7" s="14" t="n"/>
      <c r="H7" s="14" t="n"/>
      <c r="I7" s="66">
        <f>IFERROR($D7/MAX(1,$H7-$G7+1),0)</f>
        <v/>
      </c>
      <c r="J7" s="14" t="n"/>
      <c r="K7" s="12">
        <f>IFERROR($D7*($J7/30)*VLOOKUP($B7,UnitMix!$B$6:$J$30,7,FALSE),0)</f>
        <v/>
      </c>
      <c r="L7" s="10" t="n"/>
      <c r="M7" s="12">
        <f>IFERROR($K7/MAX(1,$H7-$G7+1),0)</f>
        <v/>
      </c>
      <c r="N7" s="12">
        <f>D7*L7*12</f>
        <v/>
      </c>
      <c r="O7" s="67">
        <f>IFERROR(N7/F7,"")</f>
        <v/>
      </c>
      <c r="P7" s="1">
        <f>IF(COUNTIF(UnitMix!$C$6:$C$30,1)&gt;0,"1 Bed","")</f>
        <v/>
      </c>
      <c r="Q7" s="9" t="n"/>
      <c r="R7" s="1">
        <f>IFERROR(L7/'UnitMix'!$I$31,"")</f>
        <v/>
      </c>
      <c r="S7" s="68">
        <f>IF($D7&gt;0,$G7,9999)</f>
        <v/>
      </c>
      <c r="T7" s="68">
        <f>IF($D7&gt;0,$H7,0)</f>
        <v/>
      </c>
    </row>
    <row r="8">
      <c r="A8" s="1" t="n"/>
      <c r="B8" s="9" t="n"/>
      <c r="C8" s="65">
        <f>IF($B8="",0,IFERROR(VLOOKUP($B8,UnitMix!$B$6:$F$30,5,FALSE),SUMIFS(UnitMix!$F$6:$F$30,UnitMix!$C$6:$C$30,IFERROR(VALUE(LEFT($B8,1)),-1))))</f>
        <v/>
      </c>
      <c r="D8" s="14">
        <f>C8</f>
        <v/>
      </c>
      <c r="E8" s="10" t="n"/>
      <c r="F8" s="12">
        <f>IF(D8&gt;0,D8*E8,0)</f>
        <v/>
      </c>
      <c r="G8" s="14" t="n"/>
      <c r="H8" s="14" t="n"/>
      <c r="I8" s="66">
        <f>IFERROR($D8/MAX(1,$H8-$G8+1),0)</f>
        <v/>
      </c>
      <c r="J8" s="14" t="n"/>
      <c r="K8" s="12">
        <f>IFERROR($D8*($J8/30)*VLOOKUP($B8,UnitMix!$B$6:$J$30,7,FALSE),0)</f>
        <v/>
      </c>
      <c r="L8" s="10" t="n"/>
      <c r="M8" s="12">
        <f>IFERROR($K8/MAX(1,$H8-$G8+1),0)</f>
        <v/>
      </c>
      <c r="N8" s="12">
        <f>D8*L8*12</f>
        <v/>
      </c>
      <c r="O8" s="67">
        <f>IFERROR(N8/F8,"")</f>
        <v/>
      </c>
      <c r="P8" s="1">
        <f>IF(COUNTIF(UnitMix!$C$6:$C$30,2)&gt;0,"2 Bed","")</f>
        <v/>
      </c>
      <c r="Q8" s="9" t="n"/>
      <c r="R8" s="1">
        <f>IFERROR(L8/'UnitMix'!$I$31,"")</f>
        <v/>
      </c>
      <c r="S8" s="68">
        <f>IF($D8&gt;0,$G8,9999)</f>
        <v/>
      </c>
      <c r="T8" s="68">
        <f>IF($D8&gt;0,$H8,0)</f>
        <v/>
      </c>
    </row>
    <row r="9">
      <c r="A9" s="1" t="n"/>
      <c r="B9" s="9" t="n"/>
      <c r="C9" s="65">
        <f>IF($B9="",0,IFERROR(VLOOKUP($B9,UnitMix!$B$6:$F$30,5,FALSE),SUMIFS(UnitMix!$F$6:$F$30,UnitMix!$C$6:$C$30,IFERROR(VALUE(LEFT($B9,1)),-1))))</f>
        <v/>
      </c>
      <c r="D9" s="14">
        <f>C9</f>
        <v/>
      </c>
      <c r="E9" s="10" t="n"/>
      <c r="F9" s="12">
        <f>IF(D9&gt;0,D9*E9,0)</f>
        <v/>
      </c>
      <c r="G9" s="14" t="n"/>
      <c r="H9" s="14" t="n"/>
      <c r="I9" s="66">
        <f>IFERROR($D9/MAX(1,$H9-$G9+1),0)</f>
        <v/>
      </c>
      <c r="J9" s="14" t="n"/>
      <c r="K9" s="12">
        <f>IFERROR($D9*($J9/30)*VLOOKUP($B9,UnitMix!$B$6:$J$30,7,FALSE),0)</f>
        <v/>
      </c>
      <c r="L9" s="10" t="n"/>
      <c r="M9" s="12">
        <f>IFERROR($K9/MAX(1,$H9-$G9+1),0)</f>
        <v/>
      </c>
      <c r="N9" s="12">
        <f>D9*L9*12</f>
        <v/>
      </c>
      <c r="O9" s="67">
        <f>IFERROR(N9/F9,"")</f>
        <v/>
      </c>
      <c r="P9" s="1">
        <f>IF(COUNTIF(UnitMix!$C$6:$C$30,3)&gt;0,"3 Bed","")</f>
        <v/>
      </c>
      <c r="Q9" s="9" t="n"/>
      <c r="R9" s="1">
        <f>IFERROR(L9/'UnitMix'!$I$31,"")</f>
        <v/>
      </c>
      <c r="S9" s="68">
        <f>IF($D9&gt;0,$G9,9999)</f>
        <v/>
      </c>
      <c r="T9" s="68">
        <f>IF($D9&gt;0,$H9,0)</f>
        <v/>
      </c>
    </row>
    <row r="10">
      <c r="A10" s="1" t="n"/>
      <c r="B10" s="9" t="n"/>
      <c r="C10" s="65">
        <f>IF($B10="",0,IFERROR(VLOOKUP($B10,UnitMix!$B$6:$F$30,5,FALSE),SUMIFS(UnitMix!$F$6:$F$30,UnitMix!$C$6:$C$30,IFERROR(VALUE(LEFT($B10,1)),-1))))</f>
        <v/>
      </c>
      <c r="D10" s="14">
        <f>C10</f>
        <v/>
      </c>
      <c r="E10" s="10" t="n"/>
      <c r="F10" s="12">
        <f>IF(D10&gt;0,D10*E10,0)</f>
        <v/>
      </c>
      <c r="G10" s="14" t="n"/>
      <c r="H10" s="14" t="n"/>
      <c r="I10" s="66">
        <f>IFERROR($D10/MAX(1,$H10-$G10+1),0)</f>
        <v/>
      </c>
      <c r="J10" s="14" t="n"/>
      <c r="K10" s="12">
        <f>IFERROR($D10*($J10/30)*VLOOKUP($B10,UnitMix!$B$6:$J$30,7,FALSE),0)</f>
        <v/>
      </c>
      <c r="L10" s="10" t="n"/>
      <c r="M10" s="12">
        <f>IFERROR($K10/MAX(1,$H10-$G10+1),0)</f>
        <v/>
      </c>
      <c r="N10" s="12">
        <f>D10*L10*12</f>
        <v/>
      </c>
      <c r="O10" s="67">
        <f>IFERROR(N10/F10,"")</f>
        <v/>
      </c>
      <c r="P10" s="1">
        <f>IF(COUNTIF(UnitMix!$C$6:$C$30,4)&gt;0,"4 Bed","")</f>
        <v/>
      </c>
      <c r="Q10" s="9" t="n"/>
      <c r="R10" s="1">
        <f>IFERROR(L10/'UnitMix'!$I$31,"")</f>
        <v/>
      </c>
      <c r="S10" s="68">
        <f>IF($D10&gt;0,$G10,9999)</f>
        <v/>
      </c>
      <c r="T10" s="68">
        <f>IF($D10&gt;0,$H10,0)</f>
        <v/>
      </c>
    </row>
    <row r="11" hidden="1" outlineLevel="1">
      <c r="A11" s="1" t="n"/>
      <c r="B11" s="9" t="n"/>
      <c r="C11" s="65">
        <f>IF($B11="",0,IFERROR(VLOOKUP($B11,UnitMix!$B$6:$F$30,5,FALSE),SUMIFS(UnitMix!$F$6:$F$30,UnitMix!$C$6:$C$30,IFERROR(VALUE(LEFT($B11,1)),-1))))</f>
        <v/>
      </c>
      <c r="D11" s="14">
        <f>C11</f>
        <v/>
      </c>
      <c r="E11" s="10" t="n"/>
      <c r="F11" s="12">
        <f>IF(D11&gt;0,D11*E11,0)</f>
        <v/>
      </c>
      <c r="G11" s="14" t="n"/>
      <c r="H11" s="14" t="n"/>
      <c r="I11" s="66">
        <f>IFERROR($D11/MAX(1,$H11-$G11+1),0)</f>
        <v/>
      </c>
      <c r="J11" s="14" t="n"/>
      <c r="K11" s="12">
        <f>IFERROR($D11*($J11/30)*VLOOKUP($B11,UnitMix!$B$6:$J$30,7,FALSE),0)</f>
        <v/>
      </c>
      <c r="L11" s="10" t="n"/>
      <c r="M11" s="12">
        <f>IFERROR($K11/MAX(1,$H11-$G11+1),0)</f>
        <v/>
      </c>
      <c r="N11" s="12">
        <f>D11*L11*12</f>
        <v/>
      </c>
      <c r="O11" s="67">
        <f>IFERROR(N11/F11,"")</f>
        <v/>
      </c>
      <c r="P11" s="1">
        <f>IF(UnitMix!$B$6="","",UnitMix!$B$6)</f>
        <v/>
      </c>
      <c r="Q11" s="9" t="n"/>
      <c r="R11" s="1">
        <f>IFERROR(L11/'UnitMix'!$I$31,"")</f>
        <v/>
      </c>
      <c r="S11" s="68">
        <f>IF($D11&gt;0,$G11,9999)</f>
        <v/>
      </c>
      <c r="T11" s="68">
        <f>IF($D11&gt;0,$H11,0)</f>
        <v/>
      </c>
    </row>
    <row r="12" hidden="1" outlineLevel="1">
      <c r="A12" s="1" t="n"/>
      <c r="B12" s="9" t="n"/>
      <c r="C12" s="65">
        <f>IF($B12="",0,IFERROR(VLOOKUP($B12,UnitMix!$B$6:$F$30,5,FALSE),SUMIFS(UnitMix!$F$6:$F$30,UnitMix!$C$6:$C$30,IFERROR(VALUE(LEFT($B12,1)),-1))))</f>
        <v/>
      </c>
      <c r="D12" s="14">
        <f>C12</f>
        <v/>
      </c>
      <c r="E12" s="10" t="n"/>
      <c r="F12" s="12">
        <f>IF(D12&gt;0,D12*E12,0)</f>
        <v/>
      </c>
      <c r="G12" s="14" t="n"/>
      <c r="H12" s="14" t="n"/>
      <c r="I12" s="66">
        <f>IFERROR($D12/MAX(1,$H12-$G12+1),0)</f>
        <v/>
      </c>
      <c r="J12" s="14" t="n"/>
      <c r="K12" s="12">
        <f>IFERROR($D12*($J12/30)*VLOOKUP($B12,UnitMix!$B$6:$J$30,7,FALSE),0)</f>
        <v/>
      </c>
      <c r="L12" s="10" t="n"/>
      <c r="M12" s="12">
        <f>IFERROR($K12/MAX(1,$H12-$G12+1),0)</f>
        <v/>
      </c>
      <c r="N12" s="12">
        <f>D12*L12*12</f>
        <v/>
      </c>
      <c r="O12" s="67">
        <f>IFERROR(N12/F12,"")</f>
        <v/>
      </c>
      <c r="P12" s="1">
        <f>IF(UnitMix!$B$7="","",UnitMix!$B$7)</f>
        <v/>
      </c>
      <c r="Q12" s="9" t="n"/>
      <c r="R12" s="1">
        <f>IFERROR(L12/'UnitMix'!$I$31,"")</f>
        <v/>
      </c>
      <c r="S12" s="68">
        <f>IF($D12&gt;0,$G12,9999)</f>
        <v/>
      </c>
      <c r="T12" s="68">
        <f>IF($D12&gt;0,$H12,0)</f>
        <v/>
      </c>
    </row>
    <row r="13" hidden="1" outlineLevel="1">
      <c r="A13" s="1" t="n"/>
      <c r="B13" s="9" t="n"/>
      <c r="C13" s="65">
        <f>IF($B13="",0,IFERROR(VLOOKUP($B13,UnitMix!$B$6:$F$30,5,FALSE),SUMIFS(UnitMix!$F$6:$F$30,UnitMix!$C$6:$C$30,IFERROR(VALUE(LEFT($B13,1)),-1))))</f>
        <v/>
      </c>
      <c r="D13" s="14">
        <f>C13</f>
        <v/>
      </c>
      <c r="E13" s="10" t="n"/>
      <c r="F13" s="12">
        <f>IF(D13&gt;0,D13*E13,0)</f>
        <v/>
      </c>
      <c r="G13" s="14" t="n"/>
      <c r="H13" s="14" t="n"/>
      <c r="I13" s="66">
        <f>IFERROR($D13/MAX(1,$H13-$G13+1),0)</f>
        <v/>
      </c>
      <c r="J13" s="14" t="n"/>
      <c r="K13" s="12">
        <f>IFERROR($D13*($J13/30)*VLOOKUP($B13,UnitMix!$B$6:$J$30,7,FALSE),0)</f>
        <v/>
      </c>
      <c r="L13" s="10" t="n"/>
      <c r="M13" s="12">
        <f>IFERROR($K13/MAX(1,$H13-$G13+1),0)</f>
        <v/>
      </c>
      <c r="N13" s="12">
        <f>D13*L13*12</f>
        <v/>
      </c>
      <c r="O13" s="67">
        <f>IFERROR(N13/F13,"")</f>
        <v/>
      </c>
      <c r="P13" s="1">
        <f>IF(UnitMix!$B$8="","",UnitMix!$B$8)</f>
        <v/>
      </c>
      <c r="Q13" s="9" t="n"/>
      <c r="R13" s="1">
        <f>IFERROR(L13/'UnitMix'!$I$31,"")</f>
        <v/>
      </c>
      <c r="S13" s="68">
        <f>IF($D13&gt;0,$G13,9999)</f>
        <v/>
      </c>
      <c r="T13" s="68">
        <f>IF($D13&gt;0,$H13,0)</f>
        <v/>
      </c>
    </row>
    <row r="14" hidden="1" outlineLevel="1">
      <c r="A14" s="1" t="n"/>
      <c r="B14" s="9" t="n"/>
      <c r="C14" s="65">
        <f>IF($B14="",0,IFERROR(VLOOKUP($B14,UnitMix!$B$6:$F$30,5,FALSE),SUMIFS(UnitMix!$F$6:$F$30,UnitMix!$C$6:$C$30,IFERROR(VALUE(LEFT($B14,1)),-1))))</f>
        <v/>
      </c>
      <c r="D14" s="14">
        <f>C14</f>
        <v/>
      </c>
      <c r="E14" s="10" t="n"/>
      <c r="F14" s="12">
        <f>IF(D14&gt;0,D14*E14,0)</f>
        <v/>
      </c>
      <c r="G14" s="14" t="n"/>
      <c r="H14" s="14" t="n"/>
      <c r="I14" s="66">
        <f>IFERROR($D14/MAX(1,$H14-$G14+1),0)</f>
        <v/>
      </c>
      <c r="J14" s="14" t="n"/>
      <c r="K14" s="12">
        <f>IFERROR($D14*($J14/30)*VLOOKUP($B14,UnitMix!$B$6:$J$30,7,FALSE),0)</f>
        <v/>
      </c>
      <c r="L14" s="10" t="n"/>
      <c r="M14" s="12">
        <f>IFERROR($K14/MAX(1,$H14-$G14+1),0)</f>
        <v/>
      </c>
      <c r="N14" s="12">
        <f>D14*L14*12</f>
        <v/>
      </c>
      <c r="O14" s="67">
        <f>IFERROR(N14/F14,"")</f>
        <v/>
      </c>
      <c r="P14" s="1">
        <f>IF(UnitMix!$B$9="","",UnitMix!$B$9)</f>
        <v/>
      </c>
      <c r="Q14" s="9" t="n"/>
      <c r="R14" s="1">
        <f>IFERROR(L14/'UnitMix'!$I$31,"")</f>
        <v/>
      </c>
      <c r="S14" s="68">
        <f>IF($D14&gt;0,$G14,9999)</f>
        <v/>
      </c>
      <c r="T14" s="68">
        <f>IF($D14&gt;0,$H14,0)</f>
        <v/>
      </c>
    </row>
    <row r="15" hidden="1" outlineLevel="1">
      <c r="A15" s="1" t="n"/>
      <c r="B15" s="9" t="n"/>
      <c r="C15" s="65">
        <f>IF($B15="",0,IFERROR(VLOOKUP($B15,UnitMix!$B$6:$F$30,5,FALSE),SUMIFS(UnitMix!$F$6:$F$30,UnitMix!$C$6:$C$30,IFERROR(VALUE(LEFT($B15,1)),-1))))</f>
        <v/>
      </c>
      <c r="D15" s="14">
        <f>C15</f>
        <v/>
      </c>
      <c r="E15" s="10" t="n"/>
      <c r="F15" s="12">
        <f>IF(D15&gt;0,D15*E15,0)</f>
        <v/>
      </c>
      <c r="G15" s="14" t="n"/>
      <c r="H15" s="14" t="n"/>
      <c r="I15" s="66">
        <f>IFERROR($D15/MAX(1,$H15-$G15+1),0)</f>
        <v/>
      </c>
      <c r="J15" s="14" t="n"/>
      <c r="K15" s="12">
        <f>IFERROR($D15*($J15/30)*VLOOKUP($B15,UnitMix!$B$6:$J$30,7,FALSE),0)</f>
        <v/>
      </c>
      <c r="L15" s="10" t="n"/>
      <c r="M15" s="12">
        <f>IFERROR($K15/MAX(1,$H15-$G15+1),0)</f>
        <v/>
      </c>
      <c r="N15" s="12">
        <f>D15*L15*12</f>
        <v/>
      </c>
      <c r="O15" s="67">
        <f>IFERROR(N15/F15,"")</f>
        <v/>
      </c>
      <c r="P15" s="1">
        <f>IF(UnitMix!$B$10="","",UnitMix!$B$10)</f>
        <v/>
      </c>
      <c r="Q15" s="9" t="n"/>
      <c r="R15" s="1">
        <f>IFERROR(L15/'UnitMix'!$I$31,"")</f>
        <v/>
      </c>
      <c r="S15" s="68">
        <f>IF($D15&gt;0,$G15,9999)</f>
        <v/>
      </c>
      <c r="T15" s="68">
        <f>IF($D15&gt;0,$H15,0)</f>
        <v/>
      </c>
    </row>
    <row r="16">
      <c r="A16" s="1" t="n"/>
      <c r="B16" s="17" t="inlineStr">
        <is>
          <t>Total Renovation Program</t>
        </is>
      </c>
      <c r="C16" s="59">
        <f>SUM(C6:C15)</f>
        <v/>
      </c>
      <c r="D16" s="59">
        <f>SUM(D6:D15)-SUMIF(E6:E15,0,D6:D15)-SUMIF(E6:E15,"",D6:D15)</f>
        <v/>
      </c>
      <c r="E16" s="1" t="n"/>
      <c r="F16" s="62">
        <f>SUM(F6:F15)</f>
        <v/>
      </c>
      <c r="G16" s="1" t="n"/>
      <c r="H16" s="1" t="n"/>
      <c r="I16" s="1" t="n"/>
      <c r="J16" s="1" t="n"/>
      <c r="K16" s="62">
        <f>SUM(K6:K15)</f>
        <v/>
      </c>
      <c r="L16" s="1" t="n"/>
      <c r="M16" s="1" t="n"/>
      <c r="N16" s="62">
        <f>SUM(N6:N15)</f>
        <v/>
      </c>
      <c r="O16" s="69">
        <f>IFERROR(N16/F16,"")</f>
        <v/>
      </c>
      <c r="P16" s="1">
        <f>IF(UnitMix!$B$11="","",UnitMix!$B$11)</f>
        <v/>
      </c>
      <c r="Q16" s="1" t="n"/>
      <c r="R16" s="1" t="n"/>
      <c r="S16" s="1" t="n"/>
      <c r="T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>
        <f>IF(UnitMix!$B$12="","",UnitMix!$B$12)</f>
        <v/>
      </c>
      <c r="Q17" s="1" t="n"/>
      <c r="R17" s="1" t="n"/>
      <c r="S17" s="1" t="n"/>
      <c r="T17" s="1" t="n"/>
    </row>
    <row r="18">
      <c r="A18" s="1" t="n"/>
      <c r="B18" s="6" t="inlineStr">
        <is>
          <t>Property-Wide Capital Projects</t>
        </is>
      </c>
      <c r="C18" s="7" t="n"/>
      <c r="D18" s="7" t="n"/>
      <c r="E18" s="7" t="n"/>
      <c r="F18" s="7" t="n"/>
      <c r="G18" s="7" t="n"/>
      <c r="H18" s="7" t="n"/>
      <c r="I18" s="1" t="n"/>
      <c r="J18" s="1" t="n"/>
      <c r="K18" s="1" t="n"/>
      <c r="L18" s="1" t="n"/>
      <c r="M18" s="1" t="n"/>
      <c r="N18" s="1" t="n"/>
      <c r="O18" s="1" t="n"/>
      <c r="P18" s="1">
        <f>IF(UnitMix!$B$13="","",UnitMix!$B$13)</f>
        <v/>
      </c>
      <c r="Q18" s="1" t="n"/>
      <c r="R18" s="1" t="n"/>
      <c r="S18" s="1" t="n"/>
      <c r="T18" s="1" t="n"/>
    </row>
    <row r="19">
      <c r="A19" s="1" t="n"/>
      <c r="B19" s="17" t="inlineStr">
        <is>
          <t>Description</t>
        </is>
      </c>
      <c r="C19" s="17" t="inlineStr">
        <is>
          <t>Total Cost</t>
        </is>
      </c>
      <c r="D19" s="17" t="inlineStr">
        <is>
          <t>Start Month</t>
        </is>
      </c>
      <c r="E19" s="17" t="inlineStr">
        <is>
          <t>End Month</t>
        </is>
      </c>
      <c r="F19" s="17" t="inlineStr">
        <is>
          <t>$ / Month</t>
        </is>
      </c>
      <c r="G19" s="17" t="inlineStr">
        <is>
          <t>Rent-Growth Bump?</t>
        </is>
      </c>
      <c r="H19" s="17" t="inlineStr">
        <is>
          <t>Premium /unit/mo</t>
        </is>
      </c>
      <c r="I19" s="1" t="n"/>
      <c r="J19" s="1" t="n"/>
      <c r="K19" s="1" t="n"/>
      <c r="L19" s="1" t="n"/>
      <c r="M19" s="1" t="n"/>
      <c r="N19" s="1" t="n"/>
      <c r="O19" s="1" t="n"/>
      <c r="P19" s="1">
        <f>IF(UnitMix!$B$14="","",UnitMix!$B$14)</f>
        <v/>
      </c>
      <c r="Q19" s="1" t="n"/>
      <c r="R19" s="1" t="n"/>
      <c r="S19" s="1" t="n"/>
      <c r="T19" s="1" t="n"/>
    </row>
    <row r="20">
      <c r="A20" s="1" t="n"/>
      <c r="B20" s="9" t="n"/>
      <c r="C20" s="10" t="n"/>
      <c r="D20" s="14" t="n"/>
      <c r="E20" s="14" t="n"/>
      <c r="F20" s="12">
        <f>IF(AND(C20&gt;0,E20&gt;=D20),C20/(E20-D20+1),0)</f>
        <v/>
      </c>
      <c r="G20" s="9" t="n"/>
      <c r="H20" s="10" t="n"/>
      <c r="I20" s="1" t="n"/>
      <c r="J20" s="1" t="n"/>
      <c r="K20" s="1" t="n"/>
      <c r="L20" s="1" t="n"/>
      <c r="M20" s="1" t="n"/>
      <c r="N20" s="1" t="n"/>
      <c r="O20" s="1" t="n"/>
      <c r="P20" s="1">
        <f>IF(UnitMix!$B$15="","",UnitMix!$B$15)</f>
        <v/>
      </c>
      <c r="Q20" s="1" t="n"/>
      <c r="R20" s="1" t="n"/>
      <c r="S20" s="1">
        <f>IF($C20&gt;0,MAX(1,INT(($D20+11)/12)),9999)</f>
        <v/>
      </c>
      <c r="T20" s="1">
        <f>IF($C20&gt;0,MAX(1,INT(($E20+11)/12)),0)</f>
        <v/>
      </c>
    </row>
    <row r="21" hidden="1" outlineLevel="1">
      <c r="A21" s="1" t="n"/>
      <c r="B21" s="9" t="n"/>
      <c r="C21" s="10" t="n"/>
      <c r="D21" s="14" t="n"/>
      <c r="E21" s="14" t="n"/>
      <c r="F21" s="12">
        <f>IF(AND(C21&gt;0,E21&gt;=D21),C21/(E21-D21+1),0)</f>
        <v/>
      </c>
      <c r="G21" s="9" t="n"/>
      <c r="H21" s="10" t="n"/>
      <c r="I21" s="1" t="n"/>
      <c r="J21" s="1" t="n"/>
      <c r="K21" s="1" t="n"/>
      <c r="L21" s="1" t="n"/>
      <c r="M21" s="1" t="n"/>
      <c r="N21" s="1" t="n"/>
      <c r="O21" s="1" t="n"/>
      <c r="P21" s="1">
        <f>IF(UnitMix!$B$16="","",UnitMix!$B$16)</f>
        <v/>
      </c>
      <c r="Q21" s="1" t="n"/>
      <c r="R21" s="1" t="n"/>
      <c r="S21" s="1">
        <f>IF($C21&gt;0,MAX(1,INT(($D21+11)/12)),9999)</f>
        <v/>
      </c>
      <c r="T21" s="1">
        <f>IF($C21&gt;0,MAX(1,INT(($E21+11)/12)),0)</f>
        <v/>
      </c>
    </row>
    <row r="22" hidden="1" outlineLevel="1">
      <c r="A22" s="1" t="n"/>
      <c r="B22" s="9" t="n"/>
      <c r="C22" s="10" t="n"/>
      <c r="D22" s="14" t="n"/>
      <c r="E22" s="14" t="n"/>
      <c r="F22" s="12">
        <f>IF(AND(C22&gt;0,E22&gt;=D22),C22/(E22-D22+1),0)</f>
        <v/>
      </c>
      <c r="G22" s="9" t="n"/>
      <c r="H22" s="10" t="n"/>
      <c r="I22" s="1" t="n"/>
      <c r="J22" s="1" t="n"/>
      <c r="K22" s="1" t="n"/>
      <c r="L22" s="1" t="n"/>
      <c r="M22" s="1" t="n"/>
      <c r="N22" s="1" t="n"/>
      <c r="O22" s="1" t="n"/>
      <c r="P22" s="1">
        <f>IF(UnitMix!$B$17="","",UnitMix!$B$17)</f>
        <v/>
      </c>
      <c r="Q22" s="1" t="n"/>
      <c r="R22" s="1" t="n"/>
      <c r="S22" s="1">
        <f>IF($C22&gt;0,MAX(1,INT(($D22+11)/12)),9999)</f>
        <v/>
      </c>
      <c r="T22" s="1">
        <f>IF($C22&gt;0,MAX(1,INT(($E22+11)/12)),0)</f>
        <v/>
      </c>
    </row>
    <row r="23" hidden="1" outlineLevel="1">
      <c r="A23" s="1" t="n"/>
      <c r="B23" s="9" t="n"/>
      <c r="C23" s="10" t="n"/>
      <c r="D23" s="14" t="n"/>
      <c r="E23" s="14" t="n"/>
      <c r="F23" s="12">
        <f>IF(AND(C23&gt;0,E23&gt;=D23),C23/(E23-D23+1),0)</f>
        <v/>
      </c>
      <c r="G23" s="9" t="n"/>
      <c r="H23" s="10" t="n"/>
      <c r="I23" s="1" t="n"/>
      <c r="J23" s="1" t="n"/>
      <c r="K23" s="1" t="n"/>
      <c r="L23" s="1" t="n"/>
      <c r="M23" s="1" t="n"/>
      <c r="N23" s="1" t="n"/>
      <c r="O23" s="1" t="n"/>
      <c r="P23" s="1">
        <f>IF(UnitMix!$B$18="","",UnitMix!$B$18)</f>
        <v/>
      </c>
      <c r="Q23" s="1" t="n"/>
      <c r="R23" s="1" t="n"/>
      <c r="S23" s="1">
        <f>IF($C23&gt;0,MAX(1,INT(($D23+11)/12)),9999)</f>
        <v/>
      </c>
      <c r="T23" s="1">
        <f>IF($C23&gt;0,MAX(1,INT(($E23+11)/12)),0)</f>
        <v/>
      </c>
    </row>
    <row r="24" hidden="1" outlineLevel="1">
      <c r="A24" s="1" t="n"/>
      <c r="B24" s="9" t="n"/>
      <c r="C24" s="10" t="n"/>
      <c r="D24" s="14" t="n"/>
      <c r="E24" s="14" t="n"/>
      <c r="F24" s="12">
        <f>IF(AND(C24&gt;0,E24&gt;=D24),C24/(E24-D24+1),0)</f>
        <v/>
      </c>
      <c r="G24" s="9" t="n"/>
      <c r="H24" s="10" t="n"/>
      <c r="I24" s="1" t="n"/>
      <c r="J24" s="1" t="n"/>
      <c r="K24" s="1" t="n"/>
      <c r="L24" s="1" t="n"/>
      <c r="M24" s="1" t="n"/>
      <c r="N24" s="1" t="n"/>
      <c r="O24" s="1" t="n"/>
      <c r="P24" s="1">
        <f>IF(UnitMix!$B$19="","",UnitMix!$B$19)</f>
        <v/>
      </c>
      <c r="Q24" s="1" t="n"/>
      <c r="R24" s="1" t="n"/>
      <c r="S24" s="1">
        <f>IF($C24&gt;0,MAX(1,INT(($D24+11)/12)),9999)</f>
        <v/>
      </c>
      <c r="T24" s="1">
        <f>IF($C24&gt;0,MAX(1,INT(($E24+11)/12)),0)</f>
        <v/>
      </c>
    </row>
    <row r="25" hidden="1" outlineLevel="1">
      <c r="A25" s="1" t="n"/>
      <c r="B25" s="9" t="n"/>
      <c r="C25" s="10" t="n"/>
      <c r="D25" s="14" t="n"/>
      <c r="E25" s="14" t="n"/>
      <c r="F25" s="12">
        <f>IF(AND(C25&gt;0,E25&gt;=D25),C25/(E25-D25+1),0)</f>
        <v/>
      </c>
      <c r="G25" s="9" t="n"/>
      <c r="H25" s="10" t="n"/>
      <c r="I25" s="1" t="n"/>
      <c r="J25" s="1" t="n"/>
      <c r="K25" s="1" t="n"/>
      <c r="L25" s="1" t="n"/>
      <c r="M25" s="1" t="n"/>
      <c r="N25" s="1" t="n"/>
      <c r="O25" s="1" t="n"/>
      <c r="P25" s="1">
        <f>IF(UnitMix!$B$20="","",UnitMix!$B$20)</f>
        <v/>
      </c>
      <c r="Q25" s="1" t="n"/>
      <c r="R25" s="1" t="n"/>
      <c r="S25" s="1">
        <f>IF($C25&gt;0,MAX(1,INT(($D25+11)/12)),9999)</f>
        <v/>
      </c>
      <c r="T25" s="1">
        <f>IF($C25&gt;0,MAX(1,INT(($E25+11)/12)),0)</f>
        <v/>
      </c>
    </row>
    <row r="26" hidden="1" outlineLevel="1">
      <c r="A26" s="1" t="n"/>
      <c r="B26" s="9" t="n"/>
      <c r="C26" s="10" t="n"/>
      <c r="D26" s="14" t="n"/>
      <c r="E26" s="14" t="n"/>
      <c r="F26" s="12">
        <f>IF(AND(C26&gt;0,E26&gt;=D26),C26/(E26-D26+1),0)</f>
        <v/>
      </c>
      <c r="G26" s="9" t="n"/>
      <c r="H26" s="10" t="n"/>
      <c r="I26" s="1" t="n"/>
      <c r="J26" s="1" t="n"/>
      <c r="K26" s="1" t="n"/>
      <c r="L26" s="1" t="n"/>
      <c r="M26" s="1" t="n"/>
      <c r="N26" s="1" t="n"/>
      <c r="O26" s="1" t="n"/>
      <c r="P26" s="1">
        <f>IF(UnitMix!$B$21="","",UnitMix!$B$21)</f>
        <v/>
      </c>
      <c r="Q26" s="1" t="n"/>
      <c r="R26" s="1" t="n"/>
      <c r="S26" s="1">
        <f>IF($C26&gt;0,MAX(1,INT(($D26+11)/12)),9999)</f>
        <v/>
      </c>
      <c r="T26" s="1">
        <f>IF($C26&gt;0,MAX(1,INT(($E26+11)/12)),0)</f>
        <v/>
      </c>
    </row>
    <row r="27" hidden="1" outlineLevel="1">
      <c r="A27" s="1" t="n"/>
      <c r="B27" s="9" t="n"/>
      <c r="C27" s="10" t="n"/>
      <c r="D27" s="14" t="n"/>
      <c r="E27" s="14" t="n"/>
      <c r="F27" s="12">
        <f>IF(AND(C27&gt;0,E27&gt;=D27),C27/(E27-D27+1),0)</f>
        <v/>
      </c>
      <c r="G27" s="9" t="n"/>
      <c r="H27" s="10" t="n"/>
      <c r="I27" s="1" t="n"/>
      <c r="J27" s="1" t="n"/>
      <c r="K27" s="1" t="n"/>
      <c r="L27" s="1" t="n"/>
      <c r="M27" s="1" t="n"/>
      <c r="N27" s="1" t="n"/>
      <c r="O27" s="1" t="n"/>
      <c r="P27" s="1">
        <f>IF(UnitMix!$B$22="","",UnitMix!$B$22)</f>
        <v/>
      </c>
      <c r="Q27" s="1" t="n"/>
      <c r="R27" s="1" t="n"/>
      <c r="S27" s="1">
        <f>IF($C27&gt;0,MAX(1,INT(($D27+11)/12)),9999)</f>
        <v/>
      </c>
      <c r="T27" s="1">
        <f>IF($C27&gt;0,MAX(1,INT(($E27+11)/12)),0)</f>
        <v/>
      </c>
    </row>
    <row r="28">
      <c r="A28" s="1" t="n"/>
      <c r="B28" s="17" t="inlineStr">
        <is>
          <t>Total Property-Wide</t>
        </is>
      </c>
      <c r="C28" s="62">
        <f>SUM(C20:C27)</f>
        <v/>
      </c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>
        <f>IF(UnitMix!$B$23="","",UnitMix!$B$23)</f>
        <v/>
      </c>
      <c r="Q28" s="1" t="n"/>
      <c r="R28" s="1" t="n"/>
      <c r="S28" s="1" t="n"/>
      <c r="T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>
        <f>IF(UnitMix!$B$24="","",UnitMix!$B$24)</f>
        <v/>
      </c>
      <c r="Q29" s="1" t="n"/>
      <c r="R29" s="1" t="n"/>
      <c r="S29" s="1" t="n"/>
      <c r="T29" s="1" t="n"/>
    </row>
    <row r="30">
      <c r="A30" s="1" t="n"/>
      <c r="B30" s="6" t="inlineStr">
        <is>
          <t>Funding</t>
        </is>
      </c>
      <c r="C30" s="7" t="n"/>
      <c r="D30" s="7" t="n"/>
      <c r="E30" s="7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>
        <f>IF(UnitMix!$B$25="","",UnitMix!$B$25)</f>
        <v/>
      </c>
      <c r="Q30" s="1" t="n"/>
      <c r="R30" s="1" t="n"/>
      <c r="S30" s="1" t="n"/>
      <c r="T30" s="1" t="n"/>
    </row>
    <row r="31">
      <c r="A31" s="1" t="n"/>
      <c r="B31" s="8" t="inlineStr">
        <is>
          <t>Total Capital Budget</t>
        </is>
      </c>
      <c r="C31" s="1" t="n"/>
      <c r="D31" s="26">
        <f>'Renovation'!$F$16+'Renovation'!$C$28</f>
        <v/>
      </c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>
        <f>IF(UnitMix!$B$26="","",UnitMix!$B$26)</f>
        <v/>
      </c>
      <c r="Q31" s="1" t="n"/>
      <c r="R31" s="1" t="n"/>
      <c r="S31" s="1" t="n"/>
      <c r="T31" s="1" t="n"/>
    </row>
    <row r="32">
      <c r="A32" s="1" t="n"/>
      <c r="B32" s="8" t="inlineStr">
        <is>
          <t>Funded by Debt (Reno Line of Credit $)</t>
        </is>
      </c>
      <c r="C32" s="1" t="n"/>
      <c r="D32" s="10" t="n">
        <v>0</v>
      </c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>
        <f>IF(UnitMix!$B$27="","",UnitMix!$B$27)</f>
        <v/>
      </c>
      <c r="Q32" s="1" t="n"/>
      <c r="R32" s="1" t="n"/>
      <c r="S32" s="1" t="n"/>
      <c r="T32" s="1" t="n"/>
    </row>
    <row r="33">
      <c r="A33" s="1" t="n"/>
      <c r="B33" s="8" t="inlineStr">
        <is>
          <t>Reno LOC Interest Rate</t>
        </is>
      </c>
      <c r="C33" s="1" t="n"/>
      <c r="D33" s="13" t="n">
        <v>0.075</v>
      </c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>
        <f>IF(UnitMix!$B$28="","",UnitMix!$B$28)</f>
        <v/>
      </c>
      <c r="Q33" s="1" t="n"/>
      <c r="R33" s="1" t="n"/>
      <c r="S33" s="1" t="n"/>
      <c r="T33" s="1" t="n"/>
    </row>
    <row r="34">
      <c r="A34" s="1" t="n"/>
      <c r="B34" s="8" t="inlineStr">
        <is>
          <t>Total Funded by Debt (LOC + loan facilities)</t>
        </is>
      </c>
      <c r="C34" s="1" t="n"/>
      <c r="D34" s="26">
        <f>MIN('Renovation'!$D$31,MIN('Renovation'!$D$32,'Renovation'!$D$31)+'Investor Waterfall'!$C$24+'Investor Waterfall'!$D$24+'Investor Waterfall'!$F$24+'Investor Waterfall'!$G$24+'Investor Waterfall'!$H$24)</f>
        <v/>
      </c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>
        <f>IF(UnitMix!$B$29="","",UnitMix!$B$29)</f>
        <v/>
      </c>
      <c r="Q34" s="1" t="n"/>
      <c r="R34" s="1" t="n"/>
      <c r="S34" s="1" t="n"/>
      <c r="T34" s="1" t="n"/>
    </row>
    <row r="35">
      <c r="A35" s="1" t="n"/>
      <c r="B35" s="8" t="inlineStr">
        <is>
          <t>Funded by Equity</t>
        </is>
      </c>
      <c r="C35" s="1" t="n"/>
      <c r="D35" s="26">
        <f>'Renovation'!$D$31-'Renovation'!$D$34</f>
        <v/>
      </c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>
        <f>IF(UnitMix!$B$30="","",UnitMix!$B$30)</f>
        <v/>
      </c>
      <c r="Q35" s="1" t="n"/>
      <c r="R35" s="1" t="n"/>
      <c r="S35" s="1" t="n"/>
      <c r="T35" s="1" t="n"/>
    </row>
    <row r="36">
      <c r="A36" s="1" t="n"/>
      <c r="B36" s="17" t="inlineStr">
        <is>
          <t>Renovation Simple ROI (stabilized premium / cost)</t>
        </is>
      </c>
      <c r="C36" s="1" t="n"/>
      <c r="D36" s="28">
        <f>IFERROR($N$16/$F$16,0)</f>
        <v/>
      </c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</row>
    <row r="37">
      <c r="A37" s="1" t="n"/>
      <c r="B37" s="6" t="inlineStr">
        <is>
          <t>Renovation Status at Acquisition</t>
        </is>
      </c>
      <c r="C37" s="7" t="n"/>
      <c r="D37" s="7" t="n"/>
      <c r="E37" s="7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  <c r="T37" s="1" t="n"/>
    </row>
    <row r="38">
      <c r="A38" s="1" t="n"/>
      <c r="B38" s="8" t="inlineStr">
        <is>
          <t>Units Planned This Program</t>
        </is>
      </c>
      <c r="C38" s="1" t="n"/>
      <c r="D38" s="70">
        <f>'Renovation'!$D$16</f>
        <v/>
      </c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</row>
    <row r="39">
      <c r="A39" s="1" t="n"/>
      <c r="B39" s="8" t="inlineStr">
        <is>
          <t>Units Remaining Unrenovated</t>
        </is>
      </c>
      <c r="C39" s="1" t="n"/>
      <c r="D39" s="70">
        <f>MAX(0,'UnitMix'!$F$31-'Renovation'!$D$16)</f>
        <v/>
      </c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</row>
    <row r="44">
      <c r="A44" s="1" t="n"/>
      <c r="B44" s="6" t="inlineStr">
        <is>
          <t>Program Summary (annual — feeds CashFlow)</t>
        </is>
      </c>
      <c r="C44" s="7" t="n"/>
      <c r="D44" s="7" t="n"/>
      <c r="E44" s="7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</row>
    <row r="45">
      <c r="A45" s="1" t="n"/>
      <c r="B45" s="8" t="inlineStr">
        <is>
          <t>Program Start Year</t>
        </is>
      </c>
      <c r="C45" s="1" t="n"/>
      <c r="D45" s="71">
        <f>MAX(1,MIN(MIN($S$6:$S$15),MIN($S$20:$S$27)))</f>
        <v/>
      </c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</row>
    <row r="46">
      <c r="A46" s="1" t="n"/>
      <c r="B46" s="8" t="inlineStr">
        <is>
          <t>Program End Year</t>
        </is>
      </c>
      <c r="C46" s="1" t="n"/>
      <c r="D46" s="71">
        <f>MAX(1,MAX(MAX($T$6:$T$15),MAX($T$20:$T$27)))</f>
        <v/>
      </c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</row>
    <row r="47">
      <c r="A47" s="1" t="n"/>
      <c r="B47" s="8" t="inlineStr">
        <is>
          <t>Years in Program</t>
        </is>
      </c>
      <c r="C47" s="1" t="n"/>
      <c r="D47" s="71">
        <f>MAX(1,$D$46-$D$45+1)</f>
        <v/>
      </c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</row>
    <row r="48">
      <c r="A48" s="1" t="n"/>
      <c r="B48" s="8" t="inlineStr">
        <is>
          <t>Capex per Year</t>
        </is>
      </c>
      <c r="C48" s="1" t="n"/>
      <c r="D48" s="26">
        <f>('Renovation'!$F$16+'Renovation'!$C$28)/$D$47</f>
        <v/>
      </c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</row>
    <row r="49">
      <c r="A49" s="1" t="n"/>
      <c r="B49" s="8" t="inlineStr">
        <is>
          <t>Downtime Cost per Year</t>
        </is>
      </c>
      <c r="C49" s="1" t="n"/>
      <c r="D49" s="26">
        <f>$K$16/$D$47</f>
        <v/>
      </c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</row>
    <row r="50">
      <c r="A50" s="1" t="n"/>
      <c r="B50" s="8" t="inlineStr">
        <is>
          <t>Stabilized Annual Premium</t>
        </is>
      </c>
      <c r="C50" s="1" t="n"/>
      <c r="D50" s="26">
        <f>$N$16</f>
        <v/>
      </c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</row>
  </sheetData>
  <sheetProtection selectLockedCells="1" selectUnlockedCells="0" algorithmName="SHA-512" sheet="1" objects="1" insertRows="1" insertHyperlinks="1" autoFilter="1" scenarios="1" formatColumns="0" deleteColumns="1" insertColumns="1" pivotTables="1" deleteRows="1" formatCells="0" saltValue="kR2Lz1QJEyJLiHJBsVqNvQ==" formatRows="0" sort="1" spinCount="100000" hashValue="Npj19r5N85qwBCk4c3p/jsOKtxM6e1g92r/EaiYi0mQDXZkMNPqE1mHXM8k0HpofVJF1JugduiuQXHm1M5sHLA=="/>
  <dataValidations count="1">
    <dataValidation sqref="B6:B15" showDropDown="0" showInputMessage="0" showErrorMessage="0" allowBlank="1" type="list">
      <formula1>=$P$6:$P$35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DDE5ED"/>
    <outlinePr summaryBelow="0" summaryRight="1"/>
    <pageSetUpPr/>
  </sheetPr>
  <dimension ref="A1:V66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2" customWidth="1" style="1" min="1" max="1"/>
    <col width="24" customWidth="1" style="1" min="2" max="2"/>
    <col width="9" customWidth="1" style="1" min="3" max="3"/>
    <col width="14" customWidth="1" style="1" min="4" max="4"/>
    <col width="10" customWidth="1" style="1" min="5" max="5"/>
    <col width="12" customWidth="1" style="1" min="6" max="6"/>
    <col width="12" customWidth="1" style="1" min="7" max="7"/>
    <col width="12" customWidth="1" style="1" min="8" max="8"/>
    <col width="12" customWidth="1" style="1" min="9" max="9"/>
    <col width="12" customWidth="1" style="1" min="10" max="10"/>
    <col width="12" customWidth="1" style="1" min="11" max="11"/>
    <col width="12" customWidth="1" style="1" min="12" max="12"/>
    <col width="12" customWidth="1" style="1" min="13" max="13"/>
    <col width="12" customWidth="1" style="1" min="14" max="14"/>
    <col width="12" customWidth="1" style="1" min="15" max="15"/>
    <col width="12" customWidth="1" style="1" min="16" max="16"/>
    <col width="12" customWidth="1" style="1" min="17" max="17"/>
    <col width="12" customWidth="1" style="1" min="18" max="18"/>
    <col width="12" customWidth="1" style="1" min="19" max="19"/>
    <col width="12" customWidth="1" style="1" min="20" max="20"/>
    <col width="13" customWidth="1" style="1" min="21" max="21"/>
    <col hidden="1" width="13" customWidth="1" style="1" min="22" max="22"/>
    <col width="13" customWidth="1" style="1" min="23" max="23"/>
    <col width="13" customWidth="1" style="1" min="24" max="24"/>
    <col width="13" customWidth="1" style="1" min="25" max="25"/>
    <col width="13" customWidth="1" style="1" min="26" max="26"/>
    <col width="13" customWidth="1" style="1" min="27" max="27"/>
    <col width="13" customWidth="1" style="1" min="28" max="28"/>
    <col width="13" customWidth="1" style="1" min="29" max="29"/>
    <col width="13" customWidth="1" style="1" min="30" max="30"/>
    <col width="13" customWidth="1" style="1" min="31" max="31"/>
    <col width="13" customWidth="1" style="1" min="32" max="32"/>
    <col width="13" customWidth="1" style="1" min="33" max="33"/>
    <col width="13" customWidth="1" style="1" min="34" max="34"/>
    <col width="13" customWidth="1" style="1" min="35" max="35"/>
    <col width="13" customWidth="1" style="1" min="36" max="36"/>
    <col width="13" customWidth="1" style="1" min="37" max="37"/>
    <col width="13" customWidth="1" style="1" min="38" max="38"/>
    <col width="13" customWidth="1" style="1" min="39" max="39"/>
    <col width="13" customWidth="1" style="1" min="40" max="40"/>
    <col width="13" customWidth="1" style="1" min="41" max="41"/>
    <col width="13" customWidth="1" style="1" min="42" max="42"/>
    <col width="13" customWidth="1" style="1" min="43" max="43"/>
    <col width="13" customWidth="1" style="1" min="44" max="44"/>
    <col width="13" customWidth="1" style="1" min="45" max="45"/>
    <col width="13" customWidth="1" style="1" min="46" max="46"/>
    <col width="13" customWidth="1" style="1" min="47" max="47"/>
    <col width="13" customWidth="1" style="1" min="48" max="48"/>
    <col width="13" customWidth="1" style="1" min="49" max="49"/>
    <col width="13" customWidth="1" style="1" min="50" max="50"/>
    <col width="13" customWidth="1" style="1" min="51" max="51"/>
  </cols>
  <sheetData>
    <row r="1" ht="46" customHeight="1">
      <c r="A1" s="1" t="n"/>
      <c r="B1" s="2" t="n"/>
      <c r="C1" s="1" t="n"/>
      <c r="D1" s="3">
        <f>IF('Summary &amp; Assumptions'!$C$6="",IFERROR(LEFT('Summary &amp; Assumptions'!$C$7,FIND(",",'Summary &amp; Assumptions'!$C$7)-1),'Summary &amp; Assumptions'!$C$7),'Summary &amp; Assumptions'!$C$6)&amp;", "&amp;'Summary &amp; Assumptions'!$C$8&amp;", "&amp;'Summary &amp; Assumptions'!$C$9&amp;" - "&amp;'Summary &amp; Assumptions'!$C$11&amp;" Units - Built in "&amp;'Summary &amp; Assumptions'!$C$12</f>
        <v/>
      </c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</row>
    <row r="2">
      <c r="A2" s="1" t="n"/>
      <c r="B2" s="4" t="inlineStr">
        <is>
          <t>Debt</t>
        </is>
      </c>
      <c r="C2" s="1" t="n"/>
      <c r="D2" s="5" t="inlineStr">
        <is>
          <t>View Dashboard on Slung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</row>
    <row r="3">
      <c r="A3" s="1" t="n"/>
      <c r="B3" s="3" t="inlineStr">
        <is>
          <t>Annual schedule. Amounts come from the Sizing Method on Summary.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</row>
    <row r="4">
      <c r="A4" s="1" t="n"/>
      <c r="B4" s="6" t="inlineStr">
        <is>
          <t>Loan Terms (resolved)</t>
        </is>
      </c>
      <c r="C4" s="7" t="n"/>
      <c r="D4" s="7" t="n"/>
      <c r="E4" s="7" t="n"/>
      <c r="F4" s="7" t="n"/>
      <c r="G4" s="7" t="n"/>
      <c r="H4" s="7" t="n"/>
      <c r="I4" s="7" t="n"/>
      <c r="J4" s="7" t="n"/>
      <c r="K4" s="7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  <c r="U4" s="1" t="n"/>
      <c r="V4" s="1" t="n"/>
    </row>
    <row r="5">
      <c r="A5" s="1" t="n"/>
      <c r="B5" s="17" t="inlineStr">
        <is>
          <t>Loan</t>
        </is>
      </c>
      <c r="C5" s="17" t="inlineStr">
        <is>
          <t>Include</t>
        </is>
      </c>
      <c r="D5" s="17" t="inlineStr">
        <is>
          <t>Amount</t>
        </is>
      </c>
      <c r="E5" s="17" t="inlineStr">
        <is>
          <t>Rate Type</t>
        </is>
      </c>
      <c r="F5" s="17" t="inlineStr">
        <is>
          <t>Rate (Yr 1)</t>
        </is>
      </c>
      <c r="G5" s="17" t="inlineStr">
        <is>
          <t>Debt Service /yr</t>
        </is>
      </c>
      <c r="H5" s="17" t="inlineStr">
        <is>
          <t>IO (yrs)</t>
        </is>
      </c>
      <c r="I5" s="17" t="inlineStr">
        <is>
          <t>Amort (yrs)</t>
        </is>
      </c>
      <c r="J5" s="17" t="inlineStr">
        <is>
          <t>Start Yr</t>
        </is>
      </c>
      <c r="K5" s="17" t="inlineStr">
        <is>
          <t>Payoff Yr</t>
        </is>
      </c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</row>
    <row r="6">
      <c r="A6" s="1" t="n"/>
      <c r="B6" s="8" t="inlineStr">
        <is>
          <t>Senior</t>
        </is>
      </c>
      <c r="C6" s="1">
        <f>'Summary &amp; Assumptions'!$C$31</f>
        <v/>
      </c>
      <c r="D6" s="72">
        <f>'Summary &amp; Assumptions'!$C$34</f>
        <v/>
      </c>
      <c r="E6" s="1">
        <f>'Summary &amp; Assumptions'!$C$39</f>
        <v/>
      </c>
      <c r="F6" s="41">
        <f>'Summary &amp; Assumptions'!$C$40</f>
        <v/>
      </c>
      <c r="G6" s="38">
        <f>F40</f>
        <v/>
      </c>
      <c r="H6" s="1">
        <f>'Summary &amp; Assumptions'!$C$47</f>
        <v/>
      </c>
      <c r="I6" s="1">
        <f>'Summary &amp; Assumptions'!$C$48</f>
        <v/>
      </c>
      <c r="J6" s="1">
        <f>'Summary &amp; Assumptions'!$C$37</f>
        <v/>
      </c>
      <c r="K6" s="1">
        <f>'Summary &amp; Assumptions'!$C$23</f>
        <v/>
      </c>
      <c r="L6" s="1" t="n"/>
      <c r="M6" s="1" t="n"/>
      <c r="N6" s="1" t="n"/>
      <c r="O6" s="1" t="n"/>
      <c r="P6" s="1" t="n"/>
      <c r="Q6" s="1" t="n"/>
      <c r="R6" s="1" t="n"/>
      <c r="S6" s="1" t="n"/>
      <c r="T6" s="1" t="n"/>
      <c r="U6" s="1" t="n"/>
      <c r="V6" s="41">
        <f>IFERROR(IF('Summary &amp; Assumptions'!$C$47&gt;=1,'Summary &amp; Assumptions'!$C$40,-PMT('Summary &amp; Assumptions'!$C$40/12,'Summary &amp; Assumptions'!$C$48*12,1)*12),0)</f>
        <v/>
      </c>
    </row>
    <row r="7">
      <c r="A7" s="1" t="n"/>
      <c r="B7" s="8" t="inlineStr">
        <is>
          <t>Mezz</t>
        </is>
      </c>
      <c r="C7" s="1">
        <f>'Summary &amp; Assumptions'!$D$31</f>
        <v/>
      </c>
      <c r="D7" s="72">
        <f>'Summary &amp; Assumptions'!$D$34</f>
        <v/>
      </c>
      <c r="E7" s="1">
        <f>'Summary &amp; Assumptions'!$D$39</f>
        <v/>
      </c>
      <c r="F7" s="41">
        <f>'Summary &amp; Assumptions'!$D$40</f>
        <v/>
      </c>
      <c r="G7" s="38">
        <f>F41</f>
        <v/>
      </c>
      <c r="H7" s="1">
        <f>'Summary &amp; Assumptions'!$D$47</f>
        <v/>
      </c>
      <c r="I7" s="1">
        <f>'Summary &amp; Assumptions'!$D$48</f>
        <v/>
      </c>
      <c r="J7" s="1">
        <f>'Summary &amp; Assumptions'!$D$37</f>
        <v/>
      </c>
      <c r="K7" s="1">
        <f>'Summary &amp; Assumptions'!$C$23</f>
        <v/>
      </c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  <c r="V7" s="41">
        <f>IFERROR(IF('Summary &amp; Assumptions'!$D$47&gt;=1,'Summary &amp; Assumptions'!$D$40,-PMT('Summary &amp; Assumptions'!$D$40/12,'Summary &amp; Assumptions'!$D$48*12,1)*12),0)</f>
        <v/>
      </c>
    </row>
    <row r="8">
      <c r="A8" s="1" t="n"/>
      <c r="B8" s="8" t="inlineStr">
        <is>
          <t>Refi</t>
        </is>
      </c>
      <c r="C8" s="1">
        <f>'Summary &amp; Assumptions'!$E$31</f>
        <v/>
      </c>
      <c r="D8" s="72">
        <f>'Summary &amp; Assumptions'!$E$34</f>
        <v/>
      </c>
      <c r="E8" s="1">
        <f>'Summary &amp; Assumptions'!$E$39</f>
        <v/>
      </c>
      <c r="F8" s="41">
        <f>'Summary &amp; Assumptions'!$E$40</f>
        <v/>
      </c>
      <c r="G8" s="38">
        <f>F42</f>
        <v/>
      </c>
      <c r="H8" s="1">
        <f>'Summary &amp; Assumptions'!$E$47</f>
        <v/>
      </c>
      <c r="I8" s="1">
        <f>'Summary &amp; Assumptions'!$E$48</f>
        <v/>
      </c>
      <c r="J8" s="1">
        <f>'Summary &amp; Assumptions'!$E$37</f>
        <v/>
      </c>
      <c r="K8" s="1">
        <f>'Summary &amp; Assumptions'!$C$23</f>
        <v/>
      </c>
      <c r="L8" s="1" t="n"/>
      <c r="M8" s="1" t="n"/>
      <c r="N8" s="1" t="n"/>
      <c r="O8" s="1" t="n"/>
      <c r="P8" s="1" t="n"/>
      <c r="Q8" s="1" t="n"/>
      <c r="R8" s="1" t="n"/>
      <c r="S8" s="1" t="n"/>
      <c r="T8" s="1" t="n"/>
      <c r="U8" s="1" t="n"/>
      <c r="V8" s="41">
        <f>IFERROR(IF('Summary &amp; Assumptions'!$E$47&gt;=1,'Summary &amp; Assumptions'!$E$40,-PMT('Summary &amp; Assumptions'!$E$40/12,'Summary &amp; Assumptions'!$E$48*12,1)*12),0)</f>
        <v/>
      </c>
    </row>
    <row r="9">
      <c r="A9" s="1" t="n"/>
      <c r="B9" s="8" t="inlineStr">
        <is>
          <t>Assumed Loan</t>
        </is>
      </c>
      <c r="C9" s="1">
        <f>'Summary &amp; Assumptions'!$F$31</f>
        <v/>
      </c>
      <c r="D9" s="72">
        <f>'Summary &amp; Assumptions'!$F$34</f>
        <v/>
      </c>
      <c r="E9" s="1">
        <f>'Summary &amp; Assumptions'!$F$39</f>
        <v/>
      </c>
      <c r="F9" s="41">
        <f>'Summary &amp; Assumptions'!$F$40</f>
        <v/>
      </c>
      <c r="G9" s="38">
        <f>F43</f>
        <v/>
      </c>
      <c r="H9" s="1">
        <f>'Summary &amp; Assumptions'!$F$47</f>
        <v/>
      </c>
      <c r="I9" s="1">
        <f>'Summary &amp; Assumptions'!$F$48</f>
        <v/>
      </c>
      <c r="J9" s="1">
        <f>'Summary &amp; Assumptions'!$F$37</f>
        <v/>
      </c>
      <c r="K9" s="1">
        <f>'Summary &amp; Assumptions'!$C$23</f>
        <v/>
      </c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41">
        <f>IFERROR(IF('Summary &amp; Assumptions'!$F$47&gt;=1,'Summary &amp; Assumptions'!$F$40,-PMT('Summary &amp; Assumptions'!$F$40/12,'Summary &amp; Assumptions'!$F$48*12,1)*12),0)</f>
        <v/>
      </c>
    </row>
    <row r="10">
      <c r="A10" s="1" t="n"/>
      <c r="B10" s="8" t="inlineStr">
        <is>
          <t>Custom 1</t>
        </is>
      </c>
      <c r="C10" s="1">
        <f>'Summary &amp; Assumptions'!$G$31</f>
        <v/>
      </c>
      <c r="D10" s="72">
        <f>'Summary &amp; Assumptions'!$G$34</f>
        <v/>
      </c>
      <c r="E10" s="1">
        <f>'Summary &amp; Assumptions'!$G$39</f>
        <v/>
      </c>
      <c r="F10" s="41">
        <f>'Summary &amp; Assumptions'!$G$40</f>
        <v/>
      </c>
      <c r="G10" s="38">
        <f>F44</f>
        <v/>
      </c>
      <c r="H10" s="1">
        <f>'Summary &amp; Assumptions'!$G$47</f>
        <v/>
      </c>
      <c r="I10" s="1">
        <f>'Summary &amp; Assumptions'!$G$48</f>
        <v/>
      </c>
      <c r="J10" s="1">
        <f>'Summary &amp; Assumptions'!$G$37</f>
        <v/>
      </c>
      <c r="K10" s="1">
        <f>'Summary &amp; Assumptions'!$C$23</f>
        <v/>
      </c>
      <c r="L10" s="1" t="n"/>
      <c r="M10" s="1" t="n"/>
      <c r="N10" s="1" t="n"/>
      <c r="O10" s="1" t="n"/>
      <c r="P10" s="1" t="n"/>
      <c r="Q10" s="1" t="n"/>
      <c r="R10" s="1" t="n"/>
      <c r="S10" s="1" t="n"/>
      <c r="T10" s="1" t="n"/>
      <c r="U10" s="1" t="n"/>
      <c r="V10" s="41">
        <f>IFERROR(IF('Summary &amp; Assumptions'!$G$47&gt;=1,'Summary &amp; Assumptions'!$G$40,-PMT('Summary &amp; Assumptions'!$G$40/12,'Summary &amp; Assumptions'!$G$48*12,1)*12),0)</f>
        <v/>
      </c>
    </row>
    <row r="11">
      <c r="A11" s="1" t="n"/>
      <c r="B11" s="8" t="inlineStr">
        <is>
          <t>Custom 2</t>
        </is>
      </c>
      <c r="C11" s="1">
        <f>'Summary &amp; Assumptions'!$H$31</f>
        <v/>
      </c>
      <c r="D11" s="72">
        <f>'Summary &amp; Assumptions'!$H$34</f>
        <v/>
      </c>
      <c r="E11" s="1">
        <f>'Summary &amp; Assumptions'!$H$39</f>
        <v/>
      </c>
      <c r="F11" s="41">
        <f>'Summary &amp; Assumptions'!$H$40</f>
        <v/>
      </c>
      <c r="G11" s="38">
        <f>F45</f>
        <v/>
      </c>
      <c r="H11" s="1">
        <f>'Summary &amp; Assumptions'!$H$47</f>
        <v/>
      </c>
      <c r="I11" s="1">
        <f>'Summary &amp; Assumptions'!$H$48</f>
        <v/>
      </c>
      <c r="J11" s="1">
        <f>'Summary &amp; Assumptions'!$H$37</f>
        <v/>
      </c>
      <c r="K11" s="1">
        <f>'Summary &amp; Assumptions'!$C$23</f>
        <v/>
      </c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  <c r="V11" s="41">
        <f>IFERROR(IF('Summary &amp; Assumptions'!$H$47&gt;=1,'Summary &amp; Assumptions'!$H$40,-PMT('Summary &amp; Assumptions'!$H$40/12,'Summary &amp; Assumptions'!$H$48*12,1)*12),0)</f>
        <v/>
      </c>
    </row>
    <row r="12">
      <c r="A12" s="1" t="n"/>
      <c r="B12" s="8" t="inlineStr">
        <is>
          <t>Reno Line of Credit</t>
        </is>
      </c>
      <c r="C12" s="1">
        <f>IF('Renovation'!$D$32&gt;0,"Yes","No")</f>
        <v/>
      </c>
      <c r="D12" s="1" t="n">
        <v>0</v>
      </c>
      <c r="E12" s="1" t="n">
        <v>0</v>
      </c>
      <c r="F12" s="1" t="n">
        <v>0</v>
      </c>
      <c r="G12" s="1" t="n">
        <v>0</v>
      </c>
      <c r="H12" s="1" t="n">
        <v>0</v>
      </c>
      <c r="I12" s="1" t="n">
        <v>0</v>
      </c>
      <c r="J12" s="1" t="n">
        <v>0</v>
      </c>
      <c r="K12" s="1" t="n">
        <v>0</v>
      </c>
      <c r="L12" s="1" t="n"/>
      <c r="M12" s="1" t="n"/>
      <c r="N12" s="1" t="n"/>
      <c r="O12" s="1" t="n"/>
      <c r="P12" s="1" t="n"/>
      <c r="Q12" s="1" t="n"/>
      <c r="R12" s="1" t="n"/>
      <c r="S12" s="1" t="n"/>
      <c r="T12" s="1" t="n"/>
      <c r="U12" s="1" t="n"/>
      <c r="V12" s="1" t="n">
        <v>0</v>
      </c>
    </row>
    <row r="13">
      <c r="A13" s="1" t="n"/>
      <c r="B13" s="6" t="inlineStr">
        <is>
          <t>Annual Debt Schedule (all loans)</t>
        </is>
      </c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 t="n"/>
      <c r="O13" s="7" t="n"/>
      <c r="P13" s="7" t="n"/>
      <c r="Q13" s="7" t="n"/>
      <c r="R13" s="7" t="n"/>
      <c r="S13" s="1" t="n"/>
      <c r="T13" s="1" t="n"/>
      <c r="U13" s="1" t="n"/>
      <c r="V13" s="1" t="n"/>
    </row>
    <row r="14">
      <c r="A14" s="1" t="n"/>
      <c r="B14" s="1" t="n"/>
      <c r="C14" s="1" t="n"/>
      <c r="D14" s="1" t="n"/>
      <c r="E14" s="1" t="n"/>
      <c r="F14" s="22">
        <f>IF(1&gt;'Summary &amp; Assumptions'!$C$23,"","Year 1")</f>
        <v/>
      </c>
      <c r="G14" s="22">
        <f>IF(2&gt;'Summary &amp; Assumptions'!$C$23,"","Year 2")</f>
        <v/>
      </c>
      <c r="H14" s="22">
        <f>IF(3&gt;'Summary &amp; Assumptions'!$C$23,"","Year 3")</f>
        <v/>
      </c>
      <c r="I14" s="22">
        <f>IF(4&gt;'Summary &amp; Assumptions'!$C$23,"","Year 4")</f>
        <v/>
      </c>
      <c r="J14" s="22">
        <f>IF(5&gt;'Summary &amp; Assumptions'!$C$23,"","Year 5")</f>
        <v/>
      </c>
      <c r="K14" s="22">
        <f>IF(6&gt;'Summary &amp; Assumptions'!$C$23,"","Year 6")</f>
        <v/>
      </c>
      <c r="L14" s="22">
        <f>IF(7&gt;'Summary &amp; Assumptions'!$C$23,"","Year 7")</f>
        <v/>
      </c>
      <c r="M14" s="22">
        <f>IF(8&gt;'Summary &amp; Assumptions'!$C$23,"","Year 8")</f>
        <v/>
      </c>
      <c r="N14" s="22">
        <f>IF(9&gt;'Summary &amp; Assumptions'!$C$23,"","Year 9")</f>
        <v/>
      </c>
      <c r="O14" s="22">
        <f>IF(10&gt;'Summary &amp; Assumptions'!$C$23,"","Year 10")</f>
        <v/>
      </c>
      <c r="P14" s="22">
        <f>IF(11&gt;'Summary &amp; Assumptions'!$C$23,"","Year 11")</f>
        <v/>
      </c>
      <c r="Q14" s="22">
        <f>IF(12&gt;'Summary &amp; Assumptions'!$C$23,"","Year 12")</f>
        <v/>
      </c>
      <c r="R14" s="22">
        <f>IF(13&gt;'Summary &amp; Assumptions'!$C$23,"","Year 13")</f>
        <v/>
      </c>
      <c r="S14" s="22">
        <f>IF(14&gt;'Summary &amp; Assumptions'!$C$23,"","Year 14")</f>
        <v/>
      </c>
      <c r="T14" s="22">
        <f>IF(15&gt;'Summary &amp; Assumptions'!$C$23,"","Year 15")</f>
        <v/>
      </c>
      <c r="U14" s="1" t="n"/>
      <c r="V14" s="1" t="n"/>
    </row>
    <row r="15">
      <c r="A15" s="1" t="n"/>
      <c r="B15" s="17" t="inlineStr">
        <is>
          <t>Draws</t>
        </is>
      </c>
      <c r="C15" s="1" t="n"/>
      <c r="D15" s="1" t="n"/>
      <c r="E15" s="1" t="n"/>
      <c r="F15" s="38">
        <f>SUM(F16:F22)</f>
        <v/>
      </c>
      <c r="G15" s="38">
        <f>SUM(G16:G22)</f>
        <v/>
      </c>
      <c r="H15" s="38">
        <f>SUM(H16:H22)</f>
        <v/>
      </c>
      <c r="I15" s="38">
        <f>SUM(I16:I22)</f>
        <v/>
      </c>
      <c r="J15" s="38">
        <f>SUM(J16:J22)</f>
        <v/>
      </c>
      <c r="K15" s="38">
        <f>SUM(K16:K22)</f>
        <v/>
      </c>
      <c r="L15" s="38">
        <f>SUM(L16:L22)</f>
        <v/>
      </c>
      <c r="M15" s="38">
        <f>SUM(M16:M22)</f>
        <v/>
      </c>
      <c r="N15" s="38">
        <f>SUM(N16:N22)</f>
        <v/>
      </c>
      <c r="O15" s="38">
        <f>SUM(O16:O22)</f>
        <v/>
      </c>
      <c r="P15" s="38">
        <f>SUM(P16:P22)</f>
        <v/>
      </c>
      <c r="Q15" s="38">
        <f>SUM(Q16:Q22)</f>
        <v/>
      </c>
      <c r="R15" s="38">
        <f>SUM(R16:R22)</f>
        <v/>
      </c>
      <c r="S15" s="38">
        <f>SUM(S16:S22)</f>
        <v/>
      </c>
      <c r="T15" s="38">
        <f>SUM(T16:T22)</f>
        <v/>
      </c>
      <c r="U15" s="1" t="n"/>
      <c r="V15" s="1" t="n"/>
    </row>
    <row r="16" hidden="1" outlineLevel="1">
      <c r="A16" s="1" t="n"/>
      <c r="B16" s="3" t="inlineStr">
        <is>
          <t xml:space="preserve">    Senior</t>
        </is>
      </c>
      <c r="C16" s="1" t="n"/>
      <c r="D16" s="1" t="n"/>
      <c r="E16" s="1" t="n"/>
      <c r="F16" s="53">
        <f>IF(AND(1=1,'Summary &amp; Assumptions'!$C$31="Yes"),'Summary &amp; Assumptions'!$C$34,0)</f>
        <v/>
      </c>
      <c r="G16" s="53">
        <f>IF(AND(2=1,'Summary &amp; Assumptions'!$C$31="Yes"),'Summary &amp; Assumptions'!$C$34,0)</f>
        <v/>
      </c>
      <c r="H16" s="53">
        <f>IF(AND(3=1,'Summary &amp; Assumptions'!$C$31="Yes"),'Summary &amp; Assumptions'!$C$34,0)</f>
        <v/>
      </c>
      <c r="I16" s="53">
        <f>IF(AND(4=1,'Summary &amp; Assumptions'!$C$31="Yes"),'Summary &amp; Assumptions'!$C$34,0)</f>
        <v/>
      </c>
      <c r="J16" s="53">
        <f>IF(AND(5=1,'Summary &amp; Assumptions'!$C$31="Yes"),'Summary &amp; Assumptions'!$C$34,0)</f>
        <v/>
      </c>
      <c r="K16" s="53">
        <f>IF(AND(6=1,'Summary &amp; Assumptions'!$C$31="Yes"),'Summary &amp; Assumptions'!$C$34,0)</f>
        <v/>
      </c>
      <c r="L16" s="53">
        <f>IF(AND(7=1,'Summary &amp; Assumptions'!$C$31="Yes"),'Summary &amp; Assumptions'!$C$34,0)</f>
        <v/>
      </c>
      <c r="M16" s="53">
        <f>IF(AND(8=1,'Summary &amp; Assumptions'!$C$31="Yes"),'Summary &amp; Assumptions'!$C$34,0)</f>
        <v/>
      </c>
      <c r="N16" s="53">
        <f>IF(AND(9=1,'Summary &amp; Assumptions'!$C$31="Yes"),'Summary &amp; Assumptions'!$C$34,0)</f>
        <v/>
      </c>
      <c r="O16" s="53">
        <f>IF(AND(10=1,'Summary &amp; Assumptions'!$C$31="Yes"),'Summary &amp; Assumptions'!$C$34,0)</f>
        <v/>
      </c>
      <c r="P16" s="53">
        <f>IF(AND(11=1,'Summary &amp; Assumptions'!$C$31="Yes"),'Summary &amp; Assumptions'!$C$34,0)</f>
        <v/>
      </c>
      <c r="Q16" s="53">
        <f>IF(AND(12=1,'Summary &amp; Assumptions'!$C$31="Yes"),'Summary &amp; Assumptions'!$C$34,0)</f>
        <v/>
      </c>
      <c r="R16" s="53">
        <f>IF(AND(13=1,'Summary &amp; Assumptions'!$C$31="Yes"),'Summary &amp; Assumptions'!$C$34,0)</f>
        <v/>
      </c>
      <c r="S16" s="53">
        <f>IF(AND(14=1,'Summary &amp; Assumptions'!$C$31="Yes"),'Summary &amp; Assumptions'!$C$34,0)</f>
        <v/>
      </c>
      <c r="T16" s="53">
        <f>IF(AND(15=1,'Summary &amp; Assumptions'!$C$31="Yes"),'Summary &amp; Assumptions'!$C$34,0)</f>
        <v/>
      </c>
      <c r="U16" s="1" t="n"/>
      <c r="V16" s="1" t="n"/>
    </row>
    <row r="17" hidden="1" outlineLevel="1">
      <c r="A17" s="1" t="n"/>
      <c r="B17" s="3" t="inlineStr">
        <is>
          <t xml:space="preserve">    Mezz</t>
        </is>
      </c>
      <c r="C17" s="1" t="n"/>
      <c r="D17" s="1" t="n"/>
      <c r="E17" s="1" t="n"/>
      <c r="F17" s="53">
        <f>IF(AND(1=1,'Summary &amp; Assumptions'!$D$31="Yes"),'Summary &amp; Assumptions'!$D$34,0)</f>
        <v/>
      </c>
      <c r="G17" s="53">
        <f>IF(AND(2=1,'Summary &amp; Assumptions'!$D$31="Yes"),'Summary &amp; Assumptions'!$D$34,0)</f>
        <v/>
      </c>
      <c r="H17" s="53">
        <f>IF(AND(3=1,'Summary &amp; Assumptions'!$D$31="Yes"),'Summary &amp; Assumptions'!$D$34,0)</f>
        <v/>
      </c>
      <c r="I17" s="53">
        <f>IF(AND(4=1,'Summary &amp; Assumptions'!$D$31="Yes"),'Summary &amp; Assumptions'!$D$34,0)</f>
        <v/>
      </c>
      <c r="J17" s="53">
        <f>IF(AND(5=1,'Summary &amp; Assumptions'!$D$31="Yes"),'Summary &amp; Assumptions'!$D$34,0)</f>
        <v/>
      </c>
      <c r="K17" s="53">
        <f>IF(AND(6=1,'Summary &amp; Assumptions'!$D$31="Yes"),'Summary &amp; Assumptions'!$D$34,0)</f>
        <v/>
      </c>
      <c r="L17" s="53">
        <f>IF(AND(7=1,'Summary &amp; Assumptions'!$D$31="Yes"),'Summary &amp; Assumptions'!$D$34,0)</f>
        <v/>
      </c>
      <c r="M17" s="53">
        <f>IF(AND(8=1,'Summary &amp; Assumptions'!$D$31="Yes"),'Summary &amp; Assumptions'!$D$34,0)</f>
        <v/>
      </c>
      <c r="N17" s="53">
        <f>IF(AND(9=1,'Summary &amp; Assumptions'!$D$31="Yes"),'Summary &amp; Assumptions'!$D$34,0)</f>
        <v/>
      </c>
      <c r="O17" s="53">
        <f>IF(AND(10=1,'Summary &amp; Assumptions'!$D$31="Yes"),'Summary &amp; Assumptions'!$D$34,0)</f>
        <v/>
      </c>
      <c r="P17" s="53">
        <f>IF(AND(11=1,'Summary &amp; Assumptions'!$D$31="Yes"),'Summary &amp; Assumptions'!$D$34,0)</f>
        <v/>
      </c>
      <c r="Q17" s="53">
        <f>IF(AND(12=1,'Summary &amp; Assumptions'!$D$31="Yes"),'Summary &amp; Assumptions'!$D$34,0)</f>
        <v/>
      </c>
      <c r="R17" s="53">
        <f>IF(AND(13=1,'Summary &amp; Assumptions'!$D$31="Yes"),'Summary &amp; Assumptions'!$D$34,0)</f>
        <v/>
      </c>
      <c r="S17" s="53">
        <f>IF(AND(14=1,'Summary &amp; Assumptions'!$D$31="Yes"),'Summary &amp; Assumptions'!$D$34,0)</f>
        <v/>
      </c>
      <c r="T17" s="53">
        <f>IF(AND(15=1,'Summary &amp; Assumptions'!$D$31="Yes"),'Summary &amp; Assumptions'!$D$34,0)</f>
        <v/>
      </c>
      <c r="U17" s="1" t="n"/>
      <c r="V17" s="1" t="n"/>
    </row>
    <row r="18" hidden="1" outlineLevel="1">
      <c r="A18" s="1" t="n"/>
      <c r="B18" s="3" t="inlineStr">
        <is>
          <t xml:space="preserve">    Refi</t>
        </is>
      </c>
      <c r="C18" s="1" t="n"/>
      <c r="D18" s="1" t="n"/>
      <c r="E18" s="1" t="n"/>
      <c r="F18" s="53">
        <f>IF(AND(1=1,'Summary &amp; Assumptions'!$E$31="Yes"),'Summary &amp; Assumptions'!$E$34,0)</f>
        <v/>
      </c>
      <c r="G18" s="53">
        <f>IF(AND(2=1,'Summary &amp; Assumptions'!$E$31="Yes"),'Summary &amp; Assumptions'!$E$34,0)</f>
        <v/>
      </c>
      <c r="H18" s="53">
        <f>IF(AND(3=1,'Summary &amp; Assumptions'!$E$31="Yes"),'Summary &amp; Assumptions'!$E$34,0)</f>
        <v/>
      </c>
      <c r="I18" s="53">
        <f>IF(AND(4=1,'Summary &amp; Assumptions'!$E$31="Yes"),'Summary &amp; Assumptions'!$E$34,0)</f>
        <v/>
      </c>
      <c r="J18" s="53">
        <f>IF(AND(5=1,'Summary &amp; Assumptions'!$E$31="Yes"),'Summary &amp; Assumptions'!$E$34,0)</f>
        <v/>
      </c>
      <c r="K18" s="53">
        <f>IF(AND(6=1,'Summary &amp; Assumptions'!$E$31="Yes"),'Summary &amp; Assumptions'!$E$34,0)</f>
        <v/>
      </c>
      <c r="L18" s="53">
        <f>IF(AND(7=1,'Summary &amp; Assumptions'!$E$31="Yes"),'Summary &amp; Assumptions'!$E$34,0)</f>
        <v/>
      </c>
      <c r="M18" s="53">
        <f>IF(AND(8=1,'Summary &amp; Assumptions'!$E$31="Yes"),'Summary &amp; Assumptions'!$E$34,0)</f>
        <v/>
      </c>
      <c r="N18" s="53">
        <f>IF(AND(9=1,'Summary &amp; Assumptions'!$E$31="Yes"),'Summary &amp; Assumptions'!$E$34,0)</f>
        <v/>
      </c>
      <c r="O18" s="53">
        <f>IF(AND(10=1,'Summary &amp; Assumptions'!$E$31="Yes"),'Summary &amp; Assumptions'!$E$34,0)</f>
        <v/>
      </c>
      <c r="P18" s="53">
        <f>IF(AND(11=1,'Summary &amp; Assumptions'!$E$31="Yes"),'Summary &amp; Assumptions'!$E$34,0)</f>
        <v/>
      </c>
      <c r="Q18" s="53">
        <f>IF(AND(12=1,'Summary &amp; Assumptions'!$E$31="Yes"),'Summary &amp; Assumptions'!$E$34,0)</f>
        <v/>
      </c>
      <c r="R18" s="53">
        <f>IF(AND(13=1,'Summary &amp; Assumptions'!$E$31="Yes"),'Summary &amp; Assumptions'!$E$34,0)</f>
        <v/>
      </c>
      <c r="S18" s="53">
        <f>IF(AND(14=1,'Summary &amp; Assumptions'!$E$31="Yes"),'Summary &amp; Assumptions'!$E$34,0)</f>
        <v/>
      </c>
      <c r="T18" s="53">
        <f>IF(AND(15=1,'Summary &amp; Assumptions'!$E$31="Yes"),'Summary &amp; Assumptions'!$E$34,0)</f>
        <v/>
      </c>
      <c r="U18" s="1" t="n"/>
      <c r="V18" s="1" t="n"/>
    </row>
    <row r="19" hidden="1" outlineLevel="1">
      <c r="A19" s="1" t="n"/>
      <c r="B19" s="3" t="inlineStr">
        <is>
          <t xml:space="preserve">    Assumed Loan</t>
        </is>
      </c>
      <c r="C19" s="1" t="n"/>
      <c r="D19" s="1" t="n"/>
      <c r="E19" s="1" t="n"/>
      <c r="F19" s="53">
        <f>IF(AND(1=1,'Summary &amp; Assumptions'!$F$31="Yes"),'Summary &amp; Assumptions'!$F$34,0)</f>
        <v/>
      </c>
      <c r="G19" s="53">
        <f>IF(AND(2=1,'Summary &amp; Assumptions'!$F$31="Yes"),'Summary &amp; Assumptions'!$F$34,0)</f>
        <v/>
      </c>
      <c r="H19" s="53">
        <f>IF(AND(3=1,'Summary &amp; Assumptions'!$F$31="Yes"),'Summary &amp; Assumptions'!$F$34,0)</f>
        <v/>
      </c>
      <c r="I19" s="53">
        <f>IF(AND(4=1,'Summary &amp; Assumptions'!$F$31="Yes"),'Summary &amp; Assumptions'!$F$34,0)</f>
        <v/>
      </c>
      <c r="J19" s="53">
        <f>IF(AND(5=1,'Summary &amp; Assumptions'!$F$31="Yes"),'Summary &amp; Assumptions'!$F$34,0)</f>
        <v/>
      </c>
      <c r="K19" s="53">
        <f>IF(AND(6=1,'Summary &amp; Assumptions'!$F$31="Yes"),'Summary &amp; Assumptions'!$F$34,0)</f>
        <v/>
      </c>
      <c r="L19" s="53">
        <f>IF(AND(7=1,'Summary &amp; Assumptions'!$F$31="Yes"),'Summary &amp; Assumptions'!$F$34,0)</f>
        <v/>
      </c>
      <c r="M19" s="53">
        <f>IF(AND(8=1,'Summary &amp; Assumptions'!$F$31="Yes"),'Summary &amp; Assumptions'!$F$34,0)</f>
        <v/>
      </c>
      <c r="N19" s="53">
        <f>IF(AND(9=1,'Summary &amp; Assumptions'!$F$31="Yes"),'Summary &amp; Assumptions'!$F$34,0)</f>
        <v/>
      </c>
      <c r="O19" s="53">
        <f>IF(AND(10=1,'Summary &amp; Assumptions'!$F$31="Yes"),'Summary &amp; Assumptions'!$F$34,0)</f>
        <v/>
      </c>
      <c r="P19" s="53">
        <f>IF(AND(11=1,'Summary &amp; Assumptions'!$F$31="Yes"),'Summary &amp; Assumptions'!$F$34,0)</f>
        <v/>
      </c>
      <c r="Q19" s="53">
        <f>IF(AND(12=1,'Summary &amp; Assumptions'!$F$31="Yes"),'Summary &amp; Assumptions'!$F$34,0)</f>
        <v/>
      </c>
      <c r="R19" s="53">
        <f>IF(AND(13=1,'Summary &amp; Assumptions'!$F$31="Yes"),'Summary &amp; Assumptions'!$F$34,0)</f>
        <v/>
      </c>
      <c r="S19" s="53">
        <f>IF(AND(14=1,'Summary &amp; Assumptions'!$F$31="Yes"),'Summary &amp; Assumptions'!$F$34,0)</f>
        <v/>
      </c>
      <c r="T19" s="53">
        <f>IF(AND(15=1,'Summary &amp; Assumptions'!$F$31="Yes"),'Summary &amp; Assumptions'!$F$34,0)</f>
        <v/>
      </c>
      <c r="U19" s="1" t="n"/>
      <c r="V19" s="1" t="n"/>
    </row>
    <row r="20" hidden="1" outlineLevel="1">
      <c r="A20" s="1" t="n"/>
      <c r="B20" s="3" t="inlineStr">
        <is>
          <t xml:space="preserve">    Custom 1</t>
        </is>
      </c>
      <c r="C20" s="1" t="n"/>
      <c r="D20" s="1" t="n"/>
      <c r="E20" s="1" t="n"/>
      <c r="F20" s="53">
        <f>IF(AND(1=1,'Summary &amp; Assumptions'!$G$31="Yes"),'Summary &amp; Assumptions'!$G$34,0)</f>
        <v/>
      </c>
      <c r="G20" s="53">
        <f>IF(AND(2=1,'Summary &amp; Assumptions'!$G$31="Yes"),'Summary &amp; Assumptions'!$G$34,0)</f>
        <v/>
      </c>
      <c r="H20" s="53">
        <f>IF(AND(3=1,'Summary &amp; Assumptions'!$G$31="Yes"),'Summary &amp; Assumptions'!$G$34,0)</f>
        <v/>
      </c>
      <c r="I20" s="53">
        <f>IF(AND(4=1,'Summary &amp; Assumptions'!$G$31="Yes"),'Summary &amp; Assumptions'!$G$34,0)</f>
        <v/>
      </c>
      <c r="J20" s="53">
        <f>IF(AND(5=1,'Summary &amp; Assumptions'!$G$31="Yes"),'Summary &amp; Assumptions'!$G$34,0)</f>
        <v/>
      </c>
      <c r="K20" s="53">
        <f>IF(AND(6=1,'Summary &amp; Assumptions'!$G$31="Yes"),'Summary &amp; Assumptions'!$G$34,0)</f>
        <v/>
      </c>
      <c r="L20" s="53">
        <f>IF(AND(7=1,'Summary &amp; Assumptions'!$G$31="Yes"),'Summary &amp; Assumptions'!$G$34,0)</f>
        <v/>
      </c>
      <c r="M20" s="53">
        <f>IF(AND(8=1,'Summary &amp; Assumptions'!$G$31="Yes"),'Summary &amp; Assumptions'!$G$34,0)</f>
        <v/>
      </c>
      <c r="N20" s="53">
        <f>IF(AND(9=1,'Summary &amp; Assumptions'!$G$31="Yes"),'Summary &amp; Assumptions'!$G$34,0)</f>
        <v/>
      </c>
      <c r="O20" s="53">
        <f>IF(AND(10=1,'Summary &amp; Assumptions'!$G$31="Yes"),'Summary &amp; Assumptions'!$G$34,0)</f>
        <v/>
      </c>
      <c r="P20" s="53">
        <f>IF(AND(11=1,'Summary &amp; Assumptions'!$G$31="Yes"),'Summary &amp; Assumptions'!$G$34,0)</f>
        <v/>
      </c>
      <c r="Q20" s="53">
        <f>IF(AND(12=1,'Summary &amp; Assumptions'!$G$31="Yes"),'Summary &amp; Assumptions'!$G$34,0)</f>
        <v/>
      </c>
      <c r="R20" s="53">
        <f>IF(AND(13=1,'Summary &amp; Assumptions'!$G$31="Yes"),'Summary &amp; Assumptions'!$G$34,0)</f>
        <v/>
      </c>
      <c r="S20" s="53">
        <f>IF(AND(14=1,'Summary &amp; Assumptions'!$G$31="Yes"),'Summary &amp; Assumptions'!$G$34,0)</f>
        <v/>
      </c>
      <c r="T20" s="53">
        <f>IF(AND(15=1,'Summary &amp; Assumptions'!$G$31="Yes"),'Summary &amp; Assumptions'!$G$34,0)</f>
        <v/>
      </c>
      <c r="U20" s="1" t="n"/>
      <c r="V20" s="1" t="n"/>
    </row>
    <row r="21" hidden="1" outlineLevel="1">
      <c r="A21" s="1" t="n"/>
      <c r="B21" s="3" t="inlineStr">
        <is>
          <t xml:space="preserve">    Custom 2</t>
        </is>
      </c>
      <c r="C21" s="1" t="n"/>
      <c r="D21" s="1" t="n"/>
      <c r="E21" s="1" t="n"/>
      <c r="F21" s="53">
        <f>IF(AND(1=1,'Summary &amp; Assumptions'!$H$31="Yes"),'Summary &amp; Assumptions'!$H$34,0)</f>
        <v/>
      </c>
      <c r="G21" s="53">
        <f>IF(AND(2=1,'Summary &amp; Assumptions'!$H$31="Yes"),'Summary &amp; Assumptions'!$H$34,0)</f>
        <v/>
      </c>
      <c r="H21" s="53">
        <f>IF(AND(3=1,'Summary &amp; Assumptions'!$H$31="Yes"),'Summary &amp; Assumptions'!$H$34,0)</f>
        <v/>
      </c>
      <c r="I21" s="53">
        <f>IF(AND(4=1,'Summary &amp; Assumptions'!$H$31="Yes"),'Summary &amp; Assumptions'!$H$34,0)</f>
        <v/>
      </c>
      <c r="J21" s="53">
        <f>IF(AND(5=1,'Summary &amp; Assumptions'!$H$31="Yes"),'Summary &amp; Assumptions'!$H$34,0)</f>
        <v/>
      </c>
      <c r="K21" s="53">
        <f>IF(AND(6=1,'Summary &amp; Assumptions'!$H$31="Yes"),'Summary &amp; Assumptions'!$H$34,0)</f>
        <v/>
      </c>
      <c r="L21" s="53">
        <f>IF(AND(7=1,'Summary &amp; Assumptions'!$H$31="Yes"),'Summary &amp; Assumptions'!$H$34,0)</f>
        <v/>
      </c>
      <c r="M21" s="53">
        <f>IF(AND(8=1,'Summary &amp; Assumptions'!$H$31="Yes"),'Summary &amp; Assumptions'!$H$34,0)</f>
        <v/>
      </c>
      <c r="N21" s="53">
        <f>IF(AND(9=1,'Summary &amp; Assumptions'!$H$31="Yes"),'Summary &amp; Assumptions'!$H$34,0)</f>
        <v/>
      </c>
      <c r="O21" s="53">
        <f>IF(AND(10=1,'Summary &amp; Assumptions'!$H$31="Yes"),'Summary &amp; Assumptions'!$H$34,0)</f>
        <v/>
      </c>
      <c r="P21" s="53">
        <f>IF(AND(11=1,'Summary &amp; Assumptions'!$H$31="Yes"),'Summary &amp; Assumptions'!$H$34,0)</f>
        <v/>
      </c>
      <c r="Q21" s="53">
        <f>IF(AND(12=1,'Summary &amp; Assumptions'!$H$31="Yes"),'Summary &amp; Assumptions'!$H$34,0)</f>
        <v/>
      </c>
      <c r="R21" s="53">
        <f>IF(AND(13=1,'Summary &amp; Assumptions'!$H$31="Yes"),'Summary &amp; Assumptions'!$H$34,0)</f>
        <v/>
      </c>
      <c r="S21" s="53">
        <f>IF(AND(14=1,'Summary &amp; Assumptions'!$H$31="Yes"),'Summary &amp; Assumptions'!$H$34,0)</f>
        <v/>
      </c>
      <c r="T21" s="53">
        <f>IF(AND(15=1,'Summary &amp; Assumptions'!$H$31="Yes"),'Summary &amp; Assumptions'!$H$34,0)</f>
        <v/>
      </c>
      <c r="U21" s="1" t="n"/>
      <c r="V21" s="1" t="n"/>
    </row>
    <row r="22" hidden="1" outlineLevel="1">
      <c r="A22" s="1" t="n"/>
      <c r="B22" s="3" t="inlineStr">
        <is>
          <t xml:space="preserve">    Reno Line of Credit</t>
        </is>
      </c>
      <c r="C22" s="1" t="n"/>
      <c r="D22" s="1" t="n"/>
      <c r="E22" s="1" t="n"/>
      <c r="F22" s="53" t="n">
        <v>0</v>
      </c>
      <c r="G22" s="53" t="n">
        <v>0</v>
      </c>
      <c r="H22" s="53" t="n">
        <v>0</v>
      </c>
      <c r="I22" s="53" t="n">
        <v>0</v>
      </c>
      <c r="J22" s="53" t="n">
        <v>0</v>
      </c>
      <c r="K22" s="53" t="n">
        <v>0</v>
      </c>
      <c r="L22" s="53" t="n">
        <v>0</v>
      </c>
      <c r="M22" s="53" t="n">
        <v>0</v>
      </c>
      <c r="N22" s="53" t="n">
        <v>0</v>
      </c>
      <c r="O22" s="53" t="n">
        <v>0</v>
      </c>
      <c r="P22" s="53" t="n">
        <v>0</v>
      </c>
      <c r="Q22" s="53" t="n">
        <v>0</v>
      </c>
      <c r="R22" s="53" t="n">
        <v>0</v>
      </c>
      <c r="S22" s="53" t="n">
        <v>0</v>
      </c>
      <c r="T22" s="53" t="n">
        <v>0</v>
      </c>
      <c r="U22" s="1" t="n"/>
      <c r="V22" s="1" t="n"/>
    </row>
    <row r="23">
      <c r="A23" s="1" t="n"/>
      <c r="B23" s="17" t="inlineStr">
        <is>
          <t>Interest</t>
        </is>
      </c>
      <c r="C23" s="1" t="n"/>
      <c r="D23" s="1" t="n"/>
      <c r="E23" s="1" t="n"/>
      <c r="F23" s="38">
        <f>SUM(F24:F30)</f>
        <v/>
      </c>
      <c r="G23" s="38">
        <f>SUM(G24:G30)</f>
        <v/>
      </c>
      <c r="H23" s="38">
        <f>SUM(H24:H30)</f>
        <v/>
      </c>
      <c r="I23" s="38">
        <f>SUM(I24:I30)</f>
        <v/>
      </c>
      <c r="J23" s="38">
        <f>SUM(J24:J30)</f>
        <v/>
      </c>
      <c r="K23" s="38">
        <f>SUM(K24:K30)</f>
        <v/>
      </c>
      <c r="L23" s="38">
        <f>SUM(L24:L30)</f>
        <v/>
      </c>
      <c r="M23" s="38">
        <f>SUM(M24:M30)</f>
        <v/>
      </c>
      <c r="N23" s="38">
        <f>SUM(N24:N30)</f>
        <v/>
      </c>
      <c r="O23" s="38">
        <f>SUM(O24:O30)</f>
        <v/>
      </c>
      <c r="P23" s="38">
        <f>SUM(P24:P30)</f>
        <v/>
      </c>
      <c r="Q23" s="38">
        <f>SUM(Q24:Q30)</f>
        <v/>
      </c>
      <c r="R23" s="38">
        <f>SUM(R24:R30)</f>
        <v/>
      </c>
      <c r="S23" s="38">
        <f>SUM(S24:S30)</f>
        <v/>
      </c>
      <c r="T23" s="38">
        <f>SUM(T24:T30)</f>
        <v/>
      </c>
      <c r="U23" s="1" t="n"/>
      <c r="V23" s="1" t="n"/>
    </row>
    <row r="24" hidden="1" outlineLevel="1">
      <c r="A24" s="1" t="n"/>
      <c r="B24" s="3" t="inlineStr">
        <is>
          <t xml:space="preserve">    Senior</t>
        </is>
      </c>
      <c r="C24" s="1" t="n"/>
      <c r="D24" s="1" t="n"/>
      <c r="E24" s="1" t="n"/>
      <c r="F24" s="53">
        <f>IFERROR(IF(AND('Summary &amp; Assumptions'!$C$31="Yes",1&lt;='Summary &amp; Assumptions'!$C$23,'Summary &amp; Assumptions'!$C$34&gt;0),IF(1&lt;='Summary &amp; Assumptions'!$C$47,'Summary &amp; Assumptions'!$C$34*'Summary &amp; Assumptions'!$C$40,IF('Summary &amp; Assumptions'!$C$40=0,0,-CUMIPMT('Summary &amp; Assumptions'!$C$40/12,'Summary &amp; Assumptions'!$C$48*12,'Summary &amp; Assumptions'!$C$34,MAX(1,(1-'Summary &amp; Assumptions'!$C$47-1)*12+1),MIN((1-'Summary &amp; Assumptions'!$C$47)*12,'Summary &amp; Assumptions'!$C$48*12),0))),0),0)</f>
        <v/>
      </c>
      <c r="G24" s="53">
        <f>IFERROR(IF(AND('Summary &amp; Assumptions'!$C$31="Yes",2&lt;='Summary &amp; Assumptions'!$C$23,'Summary &amp; Assumptions'!$C$34&gt;0),IF(2&lt;='Summary &amp; Assumptions'!$C$47,'Summary &amp; Assumptions'!$C$34*'Summary &amp; Assumptions'!$C$40,IF('Summary &amp; Assumptions'!$C$40=0,0,-CUMIPMT('Summary &amp; Assumptions'!$C$40/12,'Summary &amp; Assumptions'!$C$48*12,'Summary &amp; Assumptions'!$C$34,MAX(1,(2-'Summary &amp; Assumptions'!$C$47-1)*12+1),MIN((2-'Summary &amp; Assumptions'!$C$47)*12,'Summary &amp; Assumptions'!$C$48*12),0))),0),0)</f>
        <v/>
      </c>
      <c r="H24" s="53">
        <f>IFERROR(IF(AND('Summary &amp; Assumptions'!$C$31="Yes",3&lt;='Summary &amp; Assumptions'!$C$23,'Summary &amp; Assumptions'!$C$34&gt;0),IF(3&lt;='Summary &amp; Assumptions'!$C$47,'Summary &amp; Assumptions'!$C$34*'Summary &amp; Assumptions'!$C$40,IF('Summary &amp; Assumptions'!$C$40=0,0,-CUMIPMT('Summary &amp; Assumptions'!$C$40/12,'Summary &amp; Assumptions'!$C$48*12,'Summary &amp; Assumptions'!$C$34,MAX(1,(3-'Summary &amp; Assumptions'!$C$47-1)*12+1),MIN((3-'Summary &amp; Assumptions'!$C$47)*12,'Summary &amp; Assumptions'!$C$48*12),0))),0),0)</f>
        <v/>
      </c>
      <c r="I24" s="53">
        <f>IFERROR(IF(AND('Summary &amp; Assumptions'!$C$31="Yes",4&lt;='Summary &amp; Assumptions'!$C$23,'Summary &amp; Assumptions'!$C$34&gt;0),IF(4&lt;='Summary &amp; Assumptions'!$C$47,'Summary &amp; Assumptions'!$C$34*'Summary &amp; Assumptions'!$C$40,IF('Summary &amp; Assumptions'!$C$40=0,0,-CUMIPMT('Summary &amp; Assumptions'!$C$40/12,'Summary &amp; Assumptions'!$C$48*12,'Summary &amp; Assumptions'!$C$34,MAX(1,(4-'Summary &amp; Assumptions'!$C$47-1)*12+1),MIN((4-'Summary &amp; Assumptions'!$C$47)*12,'Summary &amp; Assumptions'!$C$48*12),0))),0),0)</f>
        <v/>
      </c>
      <c r="J24" s="53">
        <f>IFERROR(IF(AND('Summary &amp; Assumptions'!$C$31="Yes",5&lt;='Summary &amp; Assumptions'!$C$23,'Summary &amp; Assumptions'!$C$34&gt;0),IF(5&lt;='Summary &amp; Assumptions'!$C$47,'Summary &amp; Assumptions'!$C$34*'Summary &amp; Assumptions'!$C$40,IF('Summary &amp; Assumptions'!$C$40=0,0,-CUMIPMT('Summary &amp; Assumptions'!$C$40/12,'Summary &amp; Assumptions'!$C$48*12,'Summary &amp; Assumptions'!$C$34,MAX(1,(5-'Summary &amp; Assumptions'!$C$47-1)*12+1),MIN((5-'Summary &amp; Assumptions'!$C$47)*12,'Summary &amp; Assumptions'!$C$48*12),0))),0),0)</f>
        <v/>
      </c>
      <c r="K24" s="53">
        <f>IFERROR(IF(AND('Summary &amp; Assumptions'!$C$31="Yes",6&lt;='Summary &amp; Assumptions'!$C$23,'Summary &amp; Assumptions'!$C$34&gt;0),IF(6&lt;='Summary &amp; Assumptions'!$C$47,'Summary &amp; Assumptions'!$C$34*'Summary &amp; Assumptions'!$C$40,IF('Summary &amp; Assumptions'!$C$40=0,0,-CUMIPMT('Summary &amp; Assumptions'!$C$40/12,'Summary &amp; Assumptions'!$C$48*12,'Summary &amp; Assumptions'!$C$34,MAX(1,(6-'Summary &amp; Assumptions'!$C$47-1)*12+1),MIN((6-'Summary &amp; Assumptions'!$C$47)*12,'Summary &amp; Assumptions'!$C$48*12),0))),0),0)</f>
        <v/>
      </c>
      <c r="L24" s="53">
        <f>IFERROR(IF(AND('Summary &amp; Assumptions'!$C$31="Yes",7&lt;='Summary &amp; Assumptions'!$C$23,'Summary &amp; Assumptions'!$C$34&gt;0),IF(7&lt;='Summary &amp; Assumptions'!$C$47,'Summary &amp; Assumptions'!$C$34*'Summary &amp; Assumptions'!$C$40,IF('Summary &amp; Assumptions'!$C$40=0,0,-CUMIPMT('Summary &amp; Assumptions'!$C$40/12,'Summary &amp; Assumptions'!$C$48*12,'Summary &amp; Assumptions'!$C$34,MAX(1,(7-'Summary &amp; Assumptions'!$C$47-1)*12+1),MIN((7-'Summary &amp; Assumptions'!$C$47)*12,'Summary &amp; Assumptions'!$C$48*12),0))),0),0)</f>
        <v/>
      </c>
      <c r="M24" s="53">
        <f>IFERROR(IF(AND('Summary &amp; Assumptions'!$C$31="Yes",8&lt;='Summary &amp; Assumptions'!$C$23,'Summary &amp; Assumptions'!$C$34&gt;0),IF(8&lt;='Summary &amp; Assumptions'!$C$47,'Summary &amp; Assumptions'!$C$34*'Summary &amp; Assumptions'!$C$40,IF('Summary &amp; Assumptions'!$C$40=0,0,-CUMIPMT('Summary &amp; Assumptions'!$C$40/12,'Summary &amp; Assumptions'!$C$48*12,'Summary &amp; Assumptions'!$C$34,MAX(1,(8-'Summary &amp; Assumptions'!$C$47-1)*12+1),MIN((8-'Summary &amp; Assumptions'!$C$47)*12,'Summary &amp; Assumptions'!$C$48*12),0))),0),0)</f>
        <v/>
      </c>
      <c r="N24" s="53">
        <f>IFERROR(IF(AND('Summary &amp; Assumptions'!$C$31="Yes",9&lt;='Summary &amp; Assumptions'!$C$23,'Summary &amp; Assumptions'!$C$34&gt;0),IF(9&lt;='Summary &amp; Assumptions'!$C$47,'Summary &amp; Assumptions'!$C$34*'Summary &amp; Assumptions'!$C$40,IF('Summary &amp; Assumptions'!$C$40=0,0,-CUMIPMT('Summary &amp; Assumptions'!$C$40/12,'Summary &amp; Assumptions'!$C$48*12,'Summary &amp; Assumptions'!$C$34,MAX(1,(9-'Summary &amp; Assumptions'!$C$47-1)*12+1),MIN((9-'Summary &amp; Assumptions'!$C$47)*12,'Summary &amp; Assumptions'!$C$48*12),0))),0),0)</f>
        <v/>
      </c>
      <c r="O24" s="53">
        <f>IFERROR(IF(AND('Summary &amp; Assumptions'!$C$31="Yes",10&lt;='Summary &amp; Assumptions'!$C$23,'Summary &amp; Assumptions'!$C$34&gt;0),IF(10&lt;='Summary &amp; Assumptions'!$C$47,'Summary &amp; Assumptions'!$C$34*'Summary &amp; Assumptions'!$C$40,IF('Summary &amp; Assumptions'!$C$40=0,0,-CUMIPMT('Summary &amp; Assumptions'!$C$40/12,'Summary &amp; Assumptions'!$C$48*12,'Summary &amp; Assumptions'!$C$34,MAX(1,(10-'Summary &amp; Assumptions'!$C$47-1)*12+1),MIN((10-'Summary &amp; Assumptions'!$C$47)*12,'Summary &amp; Assumptions'!$C$48*12),0))),0),0)</f>
        <v/>
      </c>
      <c r="P24" s="53">
        <f>IFERROR(IF(AND('Summary &amp; Assumptions'!$C$31="Yes",11&lt;='Summary &amp; Assumptions'!$C$23,'Summary &amp; Assumptions'!$C$34&gt;0),IF(11&lt;='Summary &amp; Assumptions'!$C$47,'Summary &amp; Assumptions'!$C$34*'Summary &amp; Assumptions'!$C$40,IF('Summary &amp; Assumptions'!$C$40=0,0,-CUMIPMT('Summary &amp; Assumptions'!$C$40/12,'Summary &amp; Assumptions'!$C$48*12,'Summary &amp; Assumptions'!$C$34,MAX(1,(11-'Summary &amp; Assumptions'!$C$47-1)*12+1),MIN((11-'Summary &amp; Assumptions'!$C$47)*12,'Summary &amp; Assumptions'!$C$48*12),0))),0),0)</f>
        <v/>
      </c>
      <c r="Q24" s="53">
        <f>IFERROR(IF(AND('Summary &amp; Assumptions'!$C$31="Yes",12&lt;='Summary &amp; Assumptions'!$C$23,'Summary &amp; Assumptions'!$C$34&gt;0),IF(12&lt;='Summary &amp; Assumptions'!$C$47,'Summary &amp; Assumptions'!$C$34*'Summary &amp; Assumptions'!$C$40,IF('Summary &amp; Assumptions'!$C$40=0,0,-CUMIPMT('Summary &amp; Assumptions'!$C$40/12,'Summary &amp; Assumptions'!$C$48*12,'Summary &amp; Assumptions'!$C$34,MAX(1,(12-'Summary &amp; Assumptions'!$C$47-1)*12+1),MIN((12-'Summary &amp; Assumptions'!$C$47)*12,'Summary &amp; Assumptions'!$C$48*12),0))),0),0)</f>
        <v/>
      </c>
      <c r="R24" s="53">
        <f>IFERROR(IF(AND('Summary &amp; Assumptions'!$C$31="Yes",13&lt;='Summary &amp; Assumptions'!$C$23,'Summary &amp; Assumptions'!$C$34&gt;0),IF(13&lt;='Summary &amp; Assumptions'!$C$47,'Summary &amp; Assumptions'!$C$34*'Summary &amp; Assumptions'!$C$40,IF('Summary &amp; Assumptions'!$C$40=0,0,-CUMIPMT('Summary &amp; Assumptions'!$C$40/12,'Summary &amp; Assumptions'!$C$48*12,'Summary &amp; Assumptions'!$C$34,MAX(1,(13-'Summary &amp; Assumptions'!$C$47-1)*12+1),MIN((13-'Summary &amp; Assumptions'!$C$47)*12,'Summary &amp; Assumptions'!$C$48*12),0))),0),0)</f>
        <v/>
      </c>
      <c r="S24" s="53">
        <f>IFERROR(IF(AND('Summary &amp; Assumptions'!$C$31="Yes",14&lt;='Summary &amp; Assumptions'!$C$23,'Summary &amp; Assumptions'!$C$34&gt;0),IF(14&lt;='Summary &amp; Assumptions'!$C$47,'Summary &amp; Assumptions'!$C$34*'Summary &amp; Assumptions'!$C$40,IF('Summary &amp; Assumptions'!$C$40=0,0,-CUMIPMT('Summary &amp; Assumptions'!$C$40/12,'Summary &amp; Assumptions'!$C$48*12,'Summary &amp; Assumptions'!$C$34,MAX(1,(14-'Summary &amp; Assumptions'!$C$47-1)*12+1),MIN((14-'Summary &amp; Assumptions'!$C$47)*12,'Summary &amp; Assumptions'!$C$48*12),0))),0),0)</f>
        <v/>
      </c>
      <c r="T24" s="53">
        <f>IFERROR(IF(AND('Summary &amp; Assumptions'!$C$31="Yes",15&lt;='Summary &amp; Assumptions'!$C$23,'Summary &amp; Assumptions'!$C$34&gt;0),IF(15&lt;='Summary &amp; Assumptions'!$C$47,'Summary &amp; Assumptions'!$C$34*'Summary &amp; Assumptions'!$C$40,IF('Summary &amp; Assumptions'!$C$40=0,0,-CUMIPMT('Summary &amp; Assumptions'!$C$40/12,'Summary &amp; Assumptions'!$C$48*12,'Summary &amp; Assumptions'!$C$34,MAX(1,(15-'Summary &amp; Assumptions'!$C$47-1)*12+1),MIN((15-'Summary &amp; Assumptions'!$C$47)*12,'Summary &amp; Assumptions'!$C$48*12),0))),0),0)</f>
        <v/>
      </c>
      <c r="U24" s="1" t="n"/>
      <c r="V24" s="1" t="n"/>
    </row>
    <row r="25" hidden="1" outlineLevel="1">
      <c r="A25" s="1" t="n"/>
      <c r="B25" s="3" t="inlineStr">
        <is>
          <t xml:space="preserve">    Mezz</t>
        </is>
      </c>
      <c r="C25" s="1" t="n"/>
      <c r="D25" s="1" t="n"/>
      <c r="E25" s="1" t="n"/>
      <c r="F25" s="53">
        <f>IFERROR(IF(AND('Summary &amp; Assumptions'!$D$31="Yes",1&lt;='Summary &amp; Assumptions'!$C$23,'Summary &amp; Assumptions'!$D$34&gt;0),IF(1&lt;='Summary &amp; Assumptions'!$D$47,'Summary &amp; Assumptions'!$D$34*'Summary &amp; Assumptions'!$D$40,IF('Summary &amp; Assumptions'!$D$40=0,0,-CUMIPMT('Summary &amp; Assumptions'!$D$40/12,'Summary &amp; Assumptions'!$D$48*12,'Summary &amp; Assumptions'!$D$34,MAX(1,(1-'Summary &amp; Assumptions'!$D$47-1)*12+1),MIN((1-'Summary &amp; Assumptions'!$D$47)*12,'Summary &amp; Assumptions'!$D$48*12),0))),0),0)</f>
        <v/>
      </c>
      <c r="G25" s="53">
        <f>IFERROR(IF(AND('Summary &amp; Assumptions'!$D$31="Yes",2&lt;='Summary &amp; Assumptions'!$C$23,'Summary &amp; Assumptions'!$D$34&gt;0),IF(2&lt;='Summary &amp; Assumptions'!$D$47,'Summary &amp; Assumptions'!$D$34*'Summary &amp; Assumptions'!$D$40,IF('Summary &amp; Assumptions'!$D$40=0,0,-CUMIPMT('Summary &amp; Assumptions'!$D$40/12,'Summary &amp; Assumptions'!$D$48*12,'Summary &amp; Assumptions'!$D$34,MAX(1,(2-'Summary &amp; Assumptions'!$D$47-1)*12+1),MIN((2-'Summary &amp; Assumptions'!$D$47)*12,'Summary &amp; Assumptions'!$D$48*12),0))),0),0)</f>
        <v/>
      </c>
      <c r="H25" s="53">
        <f>IFERROR(IF(AND('Summary &amp; Assumptions'!$D$31="Yes",3&lt;='Summary &amp; Assumptions'!$C$23,'Summary &amp; Assumptions'!$D$34&gt;0),IF(3&lt;='Summary &amp; Assumptions'!$D$47,'Summary &amp; Assumptions'!$D$34*'Summary &amp; Assumptions'!$D$40,IF('Summary &amp; Assumptions'!$D$40=0,0,-CUMIPMT('Summary &amp; Assumptions'!$D$40/12,'Summary &amp; Assumptions'!$D$48*12,'Summary &amp; Assumptions'!$D$34,MAX(1,(3-'Summary &amp; Assumptions'!$D$47-1)*12+1),MIN((3-'Summary &amp; Assumptions'!$D$47)*12,'Summary &amp; Assumptions'!$D$48*12),0))),0),0)</f>
        <v/>
      </c>
      <c r="I25" s="53">
        <f>IFERROR(IF(AND('Summary &amp; Assumptions'!$D$31="Yes",4&lt;='Summary &amp; Assumptions'!$C$23,'Summary &amp; Assumptions'!$D$34&gt;0),IF(4&lt;='Summary &amp; Assumptions'!$D$47,'Summary &amp; Assumptions'!$D$34*'Summary &amp; Assumptions'!$D$40,IF('Summary &amp; Assumptions'!$D$40=0,0,-CUMIPMT('Summary &amp; Assumptions'!$D$40/12,'Summary &amp; Assumptions'!$D$48*12,'Summary &amp; Assumptions'!$D$34,MAX(1,(4-'Summary &amp; Assumptions'!$D$47-1)*12+1),MIN((4-'Summary &amp; Assumptions'!$D$47)*12,'Summary &amp; Assumptions'!$D$48*12),0))),0),0)</f>
        <v/>
      </c>
      <c r="J25" s="53">
        <f>IFERROR(IF(AND('Summary &amp; Assumptions'!$D$31="Yes",5&lt;='Summary &amp; Assumptions'!$C$23,'Summary &amp; Assumptions'!$D$34&gt;0),IF(5&lt;='Summary &amp; Assumptions'!$D$47,'Summary &amp; Assumptions'!$D$34*'Summary &amp; Assumptions'!$D$40,IF('Summary &amp; Assumptions'!$D$40=0,0,-CUMIPMT('Summary &amp; Assumptions'!$D$40/12,'Summary &amp; Assumptions'!$D$48*12,'Summary &amp; Assumptions'!$D$34,MAX(1,(5-'Summary &amp; Assumptions'!$D$47-1)*12+1),MIN((5-'Summary &amp; Assumptions'!$D$47)*12,'Summary &amp; Assumptions'!$D$48*12),0))),0),0)</f>
        <v/>
      </c>
      <c r="K25" s="53">
        <f>IFERROR(IF(AND('Summary &amp; Assumptions'!$D$31="Yes",6&lt;='Summary &amp; Assumptions'!$C$23,'Summary &amp; Assumptions'!$D$34&gt;0),IF(6&lt;='Summary &amp; Assumptions'!$D$47,'Summary &amp; Assumptions'!$D$34*'Summary &amp; Assumptions'!$D$40,IF('Summary &amp; Assumptions'!$D$40=0,0,-CUMIPMT('Summary &amp; Assumptions'!$D$40/12,'Summary &amp; Assumptions'!$D$48*12,'Summary &amp; Assumptions'!$D$34,MAX(1,(6-'Summary &amp; Assumptions'!$D$47-1)*12+1),MIN((6-'Summary &amp; Assumptions'!$D$47)*12,'Summary &amp; Assumptions'!$D$48*12),0))),0),0)</f>
        <v/>
      </c>
      <c r="L25" s="53">
        <f>IFERROR(IF(AND('Summary &amp; Assumptions'!$D$31="Yes",7&lt;='Summary &amp; Assumptions'!$C$23,'Summary &amp; Assumptions'!$D$34&gt;0),IF(7&lt;='Summary &amp; Assumptions'!$D$47,'Summary &amp; Assumptions'!$D$34*'Summary &amp; Assumptions'!$D$40,IF('Summary &amp; Assumptions'!$D$40=0,0,-CUMIPMT('Summary &amp; Assumptions'!$D$40/12,'Summary &amp; Assumptions'!$D$48*12,'Summary &amp; Assumptions'!$D$34,MAX(1,(7-'Summary &amp; Assumptions'!$D$47-1)*12+1),MIN((7-'Summary &amp; Assumptions'!$D$47)*12,'Summary &amp; Assumptions'!$D$48*12),0))),0),0)</f>
        <v/>
      </c>
      <c r="M25" s="53">
        <f>IFERROR(IF(AND('Summary &amp; Assumptions'!$D$31="Yes",8&lt;='Summary &amp; Assumptions'!$C$23,'Summary &amp; Assumptions'!$D$34&gt;0),IF(8&lt;='Summary &amp; Assumptions'!$D$47,'Summary &amp; Assumptions'!$D$34*'Summary &amp; Assumptions'!$D$40,IF('Summary &amp; Assumptions'!$D$40=0,0,-CUMIPMT('Summary &amp; Assumptions'!$D$40/12,'Summary &amp; Assumptions'!$D$48*12,'Summary &amp; Assumptions'!$D$34,MAX(1,(8-'Summary &amp; Assumptions'!$D$47-1)*12+1),MIN((8-'Summary &amp; Assumptions'!$D$47)*12,'Summary &amp; Assumptions'!$D$48*12),0))),0),0)</f>
        <v/>
      </c>
      <c r="N25" s="53">
        <f>IFERROR(IF(AND('Summary &amp; Assumptions'!$D$31="Yes",9&lt;='Summary &amp; Assumptions'!$C$23,'Summary &amp; Assumptions'!$D$34&gt;0),IF(9&lt;='Summary &amp; Assumptions'!$D$47,'Summary &amp; Assumptions'!$D$34*'Summary &amp; Assumptions'!$D$40,IF('Summary &amp; Assumptions'!$D$40=0,0,-CUMIPMT('Summary &amp; Assumptions'!$D$40/12,'Summary &amp; Assumptions'!$D$48*12,'Summary &amp; Assumptions'!$D$34,MAX(1,(9-'Summary &amp; Assumptions'!$D$47-1)*12+1),MIN((9-'Summary &amp; Assumptions'!$D$47)*12,'Summary &amp; Assumptions'!$D$48*12),0))),0),0)</f>
        <v/>
      </c>
      <c r="O25" s="53">
        <f>IFERROR(IF(AND('Summary &amp; Assumptions'!$D$31="Yes",10&lt;='Summary &amp; Assumptions'!$C$23,'Summary &amp; Assumptions'!$D$34&gt;0),IF(10&lt;='Summary &amp; Assumptions'!$D$47,'Summary &amp; Assumptions'!$D$34*'Summary &amp; Assumptions'!$D$40,IF('Summary &amp; Assumptions'!$D$40=0,0,-CUMIPMT('Summary &amp; Assumptions'!$D$40/12,'Summary &amp; Assumptions'!$D$48*12,'Summary &amp; Assumptions'!$D$34,MAX(1,(10-'Summary &amp; Assumptions'!$D$47-1)*12+1),MIN((10-'Summary &amp; Assumptions'!$D$47)*12,'Summary &amp; Assumptions'!$D$48*12),0))),0),0)</f>
        <v/>
      </c>
      <c r="P25" s="53">
        <f>IFERROR(IF(AND('Summary &amp; Assumptions'!$D$31="Yes",11&lt;='Summary &amp; Assumptions'!$C$23,'Summary &amp; Assumptions'!$D$34&gt;0),IF(11&lt;='Summary &amp; Assumptions'!$D$47,'Summary &amp; Assumptions'!$D$34*'Summary &amp; Assumptions'!$D$40,IF('Summary &amp; Assumptions'!$D$40=0,0,-CUMIPMT('Summary &amp; Assumptions'!$D$40/12,'Summary &amp; Assumptions'!$D$48*12,'Summary &amp; Assumptions'!$D$34,MAX(1,(11-'Summary &amp; Assumptions'!$D$47-1)*12+1),MIN((11-'Summary &amp; Assumptions'!$D$47)*12,'Summary &amp; Assumptions'!$D$48*12),0))),0),0)</f>
        <v/>
      </c>
      <c r="Q25" s="53">
        <f>IFERROR(IF(AND('Summary &amp; Assumptions'!$D$31="Yes",12&lt;='Summary &amp; Assumptions'!$C$23,'Summary &amp; Assumptions'!$D$34&gt;0),IF(12&lt;='Summary &amp; Assumptions'!$D$47,'Summary &amp; Assumptions'!$D$34*'Summary &amp; Assumptions'!$D$40,IF('Summary &amp; Assumptions'!$D$40=0,0,-CUMIPMT('Summary &amp; Assumptions'!$D$40/12,'Summary &amp; Assumptions'!$D$48*12,'Summary &amp; Assumptions'!$D$34,MAX(1,(12-'Summary &amp; Assumptions'!$D$47-1)*12+1),MIN((12-'Summary &amp; Assumptions'!$D$47)*12,'Summary &amp; Assumptions'!$D$48*12),0))),0),0)</f>
        <v/>
      </c>
      <c r="R25" s="53">
        <f>IFERROR(IF(AND('Summary &amp; Assumptions'!$D$31="Yes",13&lt;='Summary &amp; Assumptions'!$C$23,'Summary &amp; Assumptions'!$D$34&gt;0),IF(13&lt;='Summary &amp; Assumptions'!$D$47,'Summary &amp; Assumptions'!$D$34*'Summary &amp; Assumptions'!$D$40,IF('Summary &amp; Assumptions'!$D$40=0,0,-CUMIPMT('Summary &amp; Assumptions'!$D$40/12,'Summary &amp; Assumptions'!$D$48*12,'Summary &amp; Assumptions'!$D$34,MAX(1,(13-'Summary &amp; Assumptions'!$D$47-1)*12+1),MIN((13-'Summary &amp; Assumptions'!$D$47)*12,'Summary &amp; Assumptions'!$D$48*12),0))),0),0)</f>
        <v/>
      </c>
      <c r="S25" s="53">
        <f>IFERROR(IF(AND('Summary &amp; Assumptions'!$D$31="Yes",14&lt;='Summary &amp; Assumptions'!$C$23,'Summary &amp; Assumptions'!$D$34&gt;0),IF(14&lt;='Summary &amp; Assumptions'!$D$47,'Summary &amp; Assumptions'!$D$34*'Summary &amp; Assumptions'!$D$40,IF('Summary &amp; Assumptions'!$D$40=0,0,-CUMIPMT('Summary &amp; Assumptions'!$D$40/12,'Summary &amp; Assumptions'!$D$48*12,'Summary &amp; Assumptions'!$D$34,MAX(1,(14-'Summary &amp; Assumptions'!$D$47-1)*12+1),MIN((14-'Summary &amp; Assumptions'!$D$47)*12,'Summary &amp; Assumptions'!$D$48*12),0))),0),0)</f>
        <v/>
      </c>
      <c r="T25" s="53">
        <f>IFERROR(IF(AND('Summary &amp; Assumptions'!$D$31="Yes",15&lt;='Summary &amp; Assumptions'!$C$23,'Summary &amp; Assumptions'!$D$34&gt;0),IF(15&lt;='Summary &amp; Assumptions'!$D$47,'Summary &amp; Assumptions'!$D$34*'Summary &amp; Assumptions'!$D$40,IF('Summary &amp; Assumptions'!$D$40=0,0,-CUMIPMT('Summary &amp; Assumptions'!$D$40/12,'Summary &amp; Assumptions'!$D$48*12,'Summary &amp; Assumptions'!$D$34,MAX(1,(15-'Summary &amp; Assumptions'!$D$47-1)*12+1),MIN((15-'Summary &amp; Assumptions'!$D$47)*12,'Summary &amp; Assumptions'!$D$48*12),0))),0),0)</f>
        <v/>
      </c>
      <c r="U25" s="1" t="n"/>
      <c r="V25" s="1" t="n"/>
    </row>
    <row r="26" hidden="1" outlineLevel="1">
      <c r="A26" s="1" t="n"/>
      <c r="B26" s="3" t="inlineStr">
        <is>
          <t xml:space="preserve">    Refi</t>
        </is>
      </c>
      <c r="C26" s="1" t="n"/>
      <c r="D26" s="1" t="n"/>
      <c r="E26" s="1" t="n"/>
      <c r="F26" s="53">
        <f>IFERROR(IF(AND('Summary &amp; Assumptions'!$E$31="Yes",1&lt;='Summary &amp; Assumptions'!$C$23,'Summary &amp; Assumptions'!$E$34&gt;0),IF(1&lt;='Summary &amp; Assumptions'!$E$47,'Summary &amp; Assumptions'!$E$34*'Summary &amp; Assumptions'!$E$40,IF('Summary &amp; Assumptions'!$E$40=0,0,-CUMIPMT('Summary &amp; Assumptions'!$E$40/12,'Summary &amp; Assumptions'!$E$48*12,'Summary &amp; Assumptions'!$E$34,MAX(1,(1-'Summary &amp; Assumptions'!$E$47-1)*12+1),MIN((1-'Summary &amp; Assumptions'!$E$47)*12,'Summary &amp; Assumptions'!$E$48*12),0))),0),0)</f>
        <v/>
      </c>
      <c r="G26" s="53">
        <f>IFERROR(IF(AND('Summary &amp; Assumptions'!$E$31="Yes",2&lt;='Summary &amp; Assumptions'!$C$23,'Summary &amp; Assumptions'!$E$34&gt;0),IF(2&lt;='Summary &amp; Assumptions'!$E$47,'Summary &amp; Assumptions'!$E$34*'Summary &amp; Assumptions'!$E$40,IF('Summary &amp; Assumptions'!$E$40=0,0,-CUMIPMT('Summary &amp; Assumptions'!$E$40/12,'Summary &amp; Assumptions'!$E$48*12,'Summary &amp; Assumptions'!$E$34,MAX(1,(2-'Summary &amp; Assumptions'!$E$47-1)*12+1),MIN((2-'Summary &amp; Assumptions'!$E$47)*12,'Summary &amp; Assumptions'!$E$48*12),0))),0),0)</f>
        <v/>
      </c>
      <c r="H26" s="53">
        <f>IFERROR(IF(AND('Summary &amp; Assumptions'!$E$31="Yes",3&lt;='Summary &amp; Assumptions'!$C$23,'Summary &amp; Assumptions'!$E$34&gt;0),IF(3&lt;='Summary &amp; Assumptions'!$E$47,'Summary &amp; Assumptions'!$E$34*'Summary &amp; Assumptions'!$E$40,IF('Summary &amp; Assumptions'!$E$40=0,0,-CUMIPMT('Summary &amp; Assumptions'!$E$40/12,'Summary &amp; Assumptions'!$E$48*12,'Summary &amp; Assumptions'!$E$34,MAX(1,(3-'Summary &amp; Assumptions'!$E$47-1)*12+1),MIN((3-'Summary &amp; Assumptions'!$E$47)*12,'Summary &amp; Assumptions'!$E$48*12),0))),0),0)</f>
        <v/>
      </c>
      <c r="I26" s="53">
        <f>IFERROR(IF(AND('Summary &amp; Assumptions'!$E$31="Yes",4&lt;='Summary &amp; Assumptions'!$C$23,'Summary &amp; Assumptions'!$E$34&gt;0),IF(4&lt;='Summary &amp; Assumptions'!$E$47,'Summary &amp; Assumptions'!$E$34*'Summary &amp; Assumptions'!$E$40,IF('Summary &amp; Assumptions'!$E$40=0,0,-CUMIPMT('Summary &amp; Assumptions'!$E$40/12,'Summary &amp; Assumptions'!$E$48*12,'Summary &amp; Assumptions'!$E$34,MAX(1,(4-'Summary &amp; Assumptions'!$E$47-1)*12+1),MIN((4-'Summary &amp; Assumptions'!$E$47)*12,'Summary &amp; Assumptions'!$E$48*12),0))),0),0)</f>
        <v/>
      </c>
      <c r="J26" s="53">
        <f>IFERROR(IF(AND('Summary &amp; Assumptions'!$E$31="Yes",5&lt;='Summary &amp; Assumptions'!$C$23,'Summary &amp; Assumptions'!$E$34&gt;0),IF(5&lt;='Summary &amp; Assumptions'!$E$47,'Summary &amp; Assumptions'!$E$34*'Summary &amp; Assumptions'!$E$40,IF('Summary &amp; Assumptions'!$E$40=0,0,-CUMIPMT('Summary &amp; Assumptions'!$E$40/12,'Summary &amp; Assumptions'!$E$48*12,'Summary &amp; Assumptions'!$E$34,MAX(1,(5-'Summary &amp; Assumptions'!$E$47-1)*12+1),MIN((5-'Summary &amp; Assumptions'!$E$47)*12,'Summary &amp; Assumptions'!$E$48*12),0))),0),0)</f>
        <v/>
      </c>
      <c r="K26" s="53">
        <f>IFERROR(IF(AND('Summary &amp; Assumptions'!$E$31="Yes",6&lt;='Summary &amp; Assumptions'!$C$23,'Summary &amp; Assumptions'!$E$34&gt;0),IF(6&lt;='Summary &amp; Assumptions'!$E$47,'Summary &amp; Assumptions'!$E$34*'Summary &amp; Assumptions'!$E$40,IF('Summary &amp; Assumptions'!$E$40=0,0,-CUMIPMT('Summary &amp; Assumptions'!$E$40/12,'Summary &amp; Assumptions'!$E$48*12,'Summary &amp; Assumptions'!$E$34,MAX(1,(6-'Summary &amp; Assumptions'!$E$47-1)*12+1),MIN((6-'Summary &amp; Assumptions'!$E$47)*12,'Summary &amp; Assumptions'!$E$48*12),0))),0),0)</f>
        <v/>
      </c>
      <c r="L26" s="53">
        <f>IFERROR(IF(AND('Summary &amp; Assumptions'!$E$31="Yes",7&lt;='Summary &amp; Assumptions'!$C$23,'Summary &amp; Assumptions'!$E$34&gt;0),IF(7&lt;='Summary &amp; Assumptions'!$E$47,'Summary &amp; Assumptions'!$E$34*'Summary &amp; Assumptions'!$E$40,IF('Summary &amp; Assumptions'!$E$40=0,0,-CUMIPMT('Summary &amp; Assumptions'!$E$40/12,'Summary &amp; Assumptions'!$E$48*12,'Summary &amp; Assumptions'!$E$34,MAX(1,(7-'Summary &amp; Assumptions'!$E$47-1)*12+1),MIN((7-'Summary &amp; Assumptions'!$E$47)*12,'Summary &amp; Assumptions'!$E$48*12),0))),0),0)</f>
        <v/>
      </c>
      <c r="M26" s="53">
        <f>IFERROR(IF(AND('Summary &amp; Assumptions'!$E$31="Yes",8&lt;='Summary &amp; Assumptions'!$C$23,'Summary &amp; Assumptions'!$E$34&gt;0),IF(8&lt;='Summary &amp; Assumptions'!$E$47,'Summary &amp; Assumptions'!$E$34*'Summary &amp; Assumptions'!$E$40,IF('Summary &amp; Assumptions'!$E$40=0,0,-CUMIPMT('Summary &amp; Assumptions'!$E$40/12,'Summary &amp; Assumptions'!$E$48*12,'Summary &amp; Assumptions'!$E$34,MAX(1,(8-'Summary &amp; Assumptions'!$E$47-1)*12+1),MIN((8-'Summary &amp; Assumptions'!$E$47)*12,'Summary &amp; Assumptions'!$E$48*12),0))),0),0)</f>
        <v/>
      </c>
      <c r="N26" s="53">
        <f>IFERROR(IF(AND('Summary &amp; Assumptions'!$E$31="Yes",9&lt;='Summary &amp; Assumptions'!$C$23,'Summary &amp; Assumptions'!$E$34&gt;0),IF(9&lt;='Summary &amp; Assumptions'!$E$47,'Summary &amp; Assumptions'!$E$34*'Summary &amp; Assumptions'!$E$40,IF('Summary &amp; Assumptions'!$E$40=0,0,-CUMIPMT('Summary &amp; Assumptions'!$E$40/12,'Summary &amp; Assumptions'!$E$48*12,'Summary &amp; Assumptions'!$E$34,MAX(1,(9-'Summary &amp; Assumptions'!$E$47-1)*12+1),MIN((9-'Summary &amp; Assumptions'!$E$47)*12,'Summary &amp; Assumptions'!$E$48*12),0))),0),0)</f>
        <v/>
      </c>
      <c r="O26" s="53">
        <f>IFERROR(IF(AND('Summary &amp; Assumptions'!$E$31="Yes",10&lt;='Summary &amp; Assumptions'!$C$23,'Summary &amp; Assumptions'!$E$34&gt;0),IF(10&lt;='Summary &amp; Assumptions'!$E$47,'Summary &amp; Assumptions'!$E$34*'Summary &amp; Assumptions'!$E$40,IF('Summary &amp; Assumptions'!$E$40=0,0,-CUMIPMT('Summary &amp; Assumptions'!$E$40/12,'Summary &amp; Assumptions'!$E$48*12,'Summary &amp; Assumptions'!$E$34,MAX(1,(10-'Summary &amp; Assumptions'!$E$47-1)*12+1),MIN((10-'Summary &amp; Assumptions'!$E$47)*12,'Summary &amp; Assumptions'!$E$48*12),0))),0),0)</f>
        <v/>
      </c>
      <c r="P26" s="53">
        <f>IFERROR(IF(AND('Summary &amp; Assumptions'!$E$31="Yes",11&lt;='Summary &amp; Assumptions'!$C$23,'Summary &amp; Assumptions'!$E$34&gt;0),IF(11&lt;='Summary &amp; Assumptions'!$E$47,'Summary &amp; Assumptions'!$E$34*'Summary &amp; Assumptions'!$E$40,IF('Summary &amp; Assumptions'!$E$40=0,0,-CUMIPMT('Summary &amp; Assumptions'!$E$40/12,'Summary &amp; Assumptions'!$E$48*12,'Summary &amp; Assumptions'!$E$34,MAX(1,(11-'Summary &amp; Assumptions'!$E$47-1)*12+1),MIN((11-'Summary &amp; Assumptions'!$E$47)*12,'Summary &amp; Assumptions'!$E$48*12),0))),0),0)</f>
        <v/>
      </c>
      <c r="Q26" s="53">
        <f>IFERROR(IF(AND('Summary &amp; Assumptions'!$E$31="Yes",12&lt;='Summary &amp; Assumptions'!$C$23,'Summary &amp; Assumptions'!$E$34&gt;0),IF(12&lt;='Summary &amp; Assumptions'!$E$47,'Summary &amp; Assumptions'!$E$34*'Summary &amp; Assumptions'!$E$40,IF('Summary &amp; Assumptions'!$E$40=0,0,-CUMIPMT('Summary &amp; Assumptions'!$E$40/12,'Summary &amp; Assumptions'!$E$48*12,'Summary &amp; Assumptions'!$E$34,MAX(1,(12-'Summary &amp; Assumptions'!$E$47-1)*12+1),MIN((12-'Summary &amp; Assumptions'!$E$47)*12,'Summary &amp; Assumptions'!$E$48*12),0))),0),0)</f>
        <v/>
      </c>
      <c r="R26" s="53">
        <f>IFERROR(IF(AND('Summary &amp; Assumptions'!$E$31="Yes",13&lt;='Summary &amp; Assumptions'!$C$23,'Summary &amp; Assumptions'!$E$34&gt;0),IF(13&lt;='Summary &amp; Assumptions'!$E$47,'Summary &amp; Assumptions'!$E$34*'Summary &amp; Assumptions'!$E$40,IF('Summary &amp; Assumptions'!$E$40=0,0,-CUMIPMT('Summary &amp; Assumptions'!$E$40/12,'Summary &amp; Assumptions'!$E$48*12,'Summary &amp; Assumptions'!$E$34,MAX(1,(13-'Summary &amp; Assumptions'!$E$47-1)*12+1),MIN((13-'Summary &amp; Assumptions'!$E$47)*12,'Summary &amp; Assumptions'!$E$48*12),0))),0),0)</f>
        <v/>
      </c>
      <c r="S26" s="53">
        <f>IFERROR(IF(AND('Summary &amp; Assumptions'!$E$31="Yes",14&lt;='Summary &amp; Assumptions'!$C$23,'Summary &amp; Assumptions'!$E$34&gt;0),IF(14&lt;='Summary &amp; Assumptions'!$E$47,'Summary &amp; Assumptions'!$E$34*'Summary &amp; Assumptions'!$E$40,IF('Summary &amp; Assumptions'!$E$40=0,0,-CUMIPMT('Summary &amp; Assumptions'!$E$40/12,'Summary &amp; Assumptions'!$E$48*12,'Summary &amp; Assumptions'!$E$34,MAX(1,(14-'Summary &amp; Assumptions'!$E$47-1)*12+1),MIN((14-'Summary &amp; Assumptions'!$E$47)*12,'Summary &amp; Assumptions'!$E$48*12),0))),0),0)</f>
        <v/>
      </c>
      <c r="T26" s="53">
        <f>IFERROR(IF(AND('Summary &amp; Assumptions'!$E$31="Yes",15&lt;='Summary &amp; Assumptions'!$C$23,'Summary &amp; Assumptions'!$E$34&gt;0),IF(15&lt;='Summary &amp; Assumptions'!$E$47,'Summary &amp; Assumptions'!$E$34*'Summary &amp; Assumptions'!$E$40,IF('Summary &amp; Assumptions'!$E$40=0,0,-CUMIPMT('Summary &amp; Assumptions'!$E$40/12,'Summary &amp; Assumptions'!$E$48*12,'Summary &amp; Assumptions'!$E$34,MAX(1,(15-'Summary &amp; Assumptions'!$E$47-1)*12+1),MIN((15-'Summary &amp; Assumptions'!$E$47)*12,'Summary &amp; Assumptions'!$E$48*12),0))),0),0)</f>
        <v/>
      </c>
      <c r="U26" s="1" t="n"/>
      <c r="V26" s="1" t="n"/>
    </row>
    <row r="27" hidden="1" outlineLevel="1">
      <c r="A27" s="1" t="n"/>
      <c r="B27" s="3" t="inlineStr">
        <is>
          <t xml:space="preserve">    Assumed Loan</t>
        </is>
      </c>
      <c r="C27" s="1" t="n"/>
      <c r="D27" s="1" t="n"/>
      <c r="E27" s="1" t="n"/>
      <c r="F27" s="53">
        <f>IFERROR(IF(AND('Summary &amp; Assumptions'!$F$31="Yes",1&lt;='Summary &amp; Assumptions'!$C$23,'Summary &amp; Assumptions'!$F$34&gt;0),IF(1&lt;='Summary &amp; Assumptions'!$F$47,'Summary &amp; Assumptions'!$F$34*'Summary &amp; Assumptions'!$F$40,IF('Summary &amp; Assumptions'!$F$40=0,0,-CUMIPMT('Summary &amp; Assumptions'!$F$40/12,'Summary &amp; Assumptions'!$F$48*12,'Summary &amp; Assumptions'!$F$34,MAX(1,(1-'Summary &amp; Assumptions'!$F$47-1)*12+1),MIN((1-'Summary &amp; Assumptions'!$F$47)*12,'Summary &amp; Assumptions'!$F$48*12),0))),0),0)</f>
        <v/>
      </c>
      <c r="G27" s="53">
        <f>IFERROR(IF(AND('Summary &amp; Assumptions'!$F$31="Yes",2&lt;='Summary &amp; Assumptions'!$C$23,'Summary &amp; Assumptions'!$F$34&gt;0),IF(2&lt;='Summary &amp; Assumptions'!$F$47,'Summary &amp; Assumptions'!$F$34*'Summary &amp; Assumptions'!$F$40,IF('Summary &amp; Assumptions'!$F$40=0,0,-CUMIPMT('Summary &amp; Assumptions'!$F$40/12,'Summary &amp; Assumptions'!$F$48*12,'Summary &amp; Assumptions'!$F$34,MAX(1,(2-'Summary &amp; Assumptions'!$F$47-1)*12+1),MIN((2-'Summary &amp; Assumptions'!$F$47)*12,'Summary &amp; Assumptions'!$F$48*12),0))),0),0)</f>
        <v/>
      </c>
      <c r="H27" s="53">
        <f>IFERROR(IF(AND('Summary &amp; Assumptions'!$F$31="Yes",3&lt;='Summary &amp; Assumptions'!$C$23,'Summary &amp; Assumptions'!$F$34&gt;0),IF(3&lt;='Summary &amp; Assumptions'!$F$47,'Summary &amp; Assumptions'!$F$34*'Summary &amp; Assumptions'!$F$40,IF('Summary &amp; Assumptions'!$F$40=0,0,-CUMIPMT('Summary &amp; Assumptions'!$F$40/12,'Summary &amp; Assumptions'!$F$48*12,'Summary &amp; Assumptions'!$F$34,MAX(1,(3-'Summary &amp; Assumptions'!$F$47-1)*12+1),MIN((3-'Summary &amp; Assumptions'!$F$47)*12,'Summary &amp; Assumptions'!$F$48*12),0))),0),0)</f>
        <v/>
      </c>
      <c r="I27" s="53">
        <f>IFERROR(IF(AND('Summary &amp; Assumptions'!$F$31="Yes",4&lt;='Summary &amp; Assumptions'!$C$23,'Summary &amp; Assumptions'!$F$34&gt;0),IF(4&lt;='Summary &amp; Assumptions'!$F$47,'Summary &amp; Assumptions'!$F$34*'Summary &amp; Assumptions'!$F$40,IF('Summary &amp; Assumptions'!$F$40=0,0,-CUMIPMT('Summary &amp; Assumptions'!$F$40/12,'Summary &amp; Assumptions'!$F$48*12,'Summary &amp; Assumptions'!$F$34,MAX(1,(4-'Summary &amp; Assumptions'!$F$47-1)*12+1),MIN((4-'Summary &amp; Assumptions'!$F$47)*12,'Summary &amp; Assumptions'!$F$48*12),0))),0),0)</f>
        <v/>
      </c>
      <c r="J27" s="53">
        <f>IFERROR(IF(AND('Summary &amp; Assumptions'!$F$31="Yes",5&lt;='Summary &amp; Assumptions'!$C$23,'Summary &amp; Assumptions'!$F$34&gt;0),IF(5&lt;='Summary &amp; Assumptions'!$F$47,'Summary &amp; Assumptions'!$F$34*'Summary &amp; Assumptions'!$F$40,IF('Summary &amp; Assumptions'!$F$40=0,0,-CUMIPMT('Summary &amp; Assumptions'!$F$40/12,'Summary &amp; Assumptions'!$F$48*12,'Summary &amp; Assumptions'!$F$34,MAX(1,(5-'Summary &amp; Assumptions'!$F$47-1)*12+1),MIN((5-'Summary &amp; Assumptions'!$F$47)*12,'Summary &amp; Assumptions'!$F$48*12),0))),0),0)</f>
        <v/>
      </c>
      <c r="K27" s="53">
        <f>IFERROR(IF(AND('Summary &amp; Assumptions'!$F$31="Yes",6&lt;='Summary &amp; Assumptions'!$C$23,'Summary &amp; Assumptions'!$F$34&gt;0),IF(6&lt;='Summary &amp; Assumptions'!$F$47,'Summary &amp; Assumptions'!$F$34*'Summary &amp; Assumptions'!$F$40,IF('Summary &amp; Assumptions'!$F$40=0,0,-CUMIPMT('Summary &amp; Assumptions'!$F$40/12,'Summary &amp; Assumptions'!$F$48*12,'Summary &amp; Assumptions'!$F$34,MAX(1,(6-'Summary &amp; Assumptions'!$F$47-1)*12+1),MIN((6-'Summary &amp; Assumptions'!$F$47)*12,'Summary &amp; Assumptions'!$F$48*12),0))),0),0)</f>
        <v/>
      </c>
      <c r="L27" s="53">
        <f>IFERROR(IF(AND('Summary &amp; Assumptions'!$F$31="Yes",7&lt;='Summary &amp; Assumptions'!$C$23,'Summary &amp; Assumptions'!$F$34&gt;0),IF(7&lt;='Summary &amp; Assumptions'!$F$47,'Summary &amp; Assumptions'!$F$34*'Summary &amp; Assumptions'!$F$40,IF('Summary &amp; Assumptions'!$F$40=0,0,-CUMIPMT('Summary &amp; Assumptions'!$F$40/12,'Summary &amp; Assumptions'!$F$48*12,'Summary &amp; Assumptions'!$F$34,MAX(1,(7-'Summary &amp; Assumptions'!$F$47-1)*12+1),MIN((7-'Summary &amp; Assumptions'!$F$47)*12,'Summary &amp; Assumptions'!$F$48*12),0))),0),0)</f>
        <v/>
      </c>
      <c r="M27" s="53">
        <f>IFERROR(IF(AND('Summary &amp; Assumptions'!$F$31="Yes",8&lt;='Summary &amp; Assumptions'!$C$23,'Summary &amp; Assumptions'!$F$34&gt;0),IF(8&lt;='Summary &amp; Assumptions'!$F$47,'Summary &amp; Assumptions'!$F$34*'Summary &amp; Assumptions'!$F$40,IF('Summary &amp; Assumptions'!$F$40=0,0,-CUMIPMT('Summary &amp; Assumptions'!$F$40/12,'Summary &amp; Assumptions'!$F$48*12,'Summary &amp; Assumptions'!$F$34,MAX(1,(8-'Summary &amp; Assumptions'!$F$47-1)*12+1),MIN((8-'Summary &amp; Assumptions'!$F$47)*12,'Summary &amp; Assumptions'!$F$48*12),0))),0),0)</f>
        <v/>
      </c>
      <c r="N27" s="53">
        <f>IFERROR(IF(AND('Summary &amp; Assumptions'!$F$31="Yes",9&lt;='Summary &amp; Assumptions'!$C$23,'Summary &amp; Assumptions'!$F$34&gt;0),IF(9&lt;='Summary &amp; Assumptions'!$F$47,'Summary &amp; Assumptions'!$F$34*'Summary &amp; Assumptions'!$F$40,IF('Summary &amp; Assumptions'!$F$40=0,0,-CUMIPMT('Summary &amp; Assumptions'!$F$40/12,'Summary &amp; Assumptions'!$F$48*12,'Summary &amp; Assumptions'!$F$34,MAX(1,(9-'Summary &amp; Assumptions'!$F$47-1)*12+1),MIN((9-'Summary &amp; Assumptions'!$F$47)*12,'Summary &amp; Assumptions'!$F$48*12),0))),0),0)</f>
        <v/>
      </c>
      <c r="O27" s="53">
        <f>IFERROR(IF(AND('Summary &amp; Assumptions'!$F$31="Yes",10&lt;='Summary &amp; Assumptions'!$C$23,'Summary &amp; Assumptions'!$F$34&gt;0),IF(10&lt;='Summary &amp; Assumptions'!$F$47,'Summary &amp; Assumptions'!$F$34*'Summary &amp; Assumptions'!$F$40,IF('Summary &amp; Assumptions'!$F$40=0,0,-CUMIPMT('Summary &amp; Assumptions'!$F$40/12,'Summary &amp; Assumptions'!$F$48*12,'Summary &amp; Assumptions'!$F$34,MAX(1,(10-'Summary &amp; Assumptions'!$F$47-1)*12+1),MIN((10-'Summary &amp; Assumptions'!$F$47)*12,'Summary &amp; Assumptions'!$F$48*12),0))),0),0)</f>
        <v/>
      </c>
      <c r="P27" s="53">
        <f>IFERROR(IF(AND('Summary &amp; Assumptions'!$F$31="Yes",11&lt;='Summary &amp; Assumptions'!$C$23,'Summary &amp; Assumptions'!$F$34&gt;0),IF(11&lt;='Summary &amp; Assumptions'!$F$47,'Summary &amp; Assumptions'!$F$34*'Summary &amp; Assumptions'!$F$40,IF('Summary &amp; Assumptions'!$F$40=0,0,-CUMIPMT('Summary &amp; Assumptions'!$F$40/12,'Summary &amp; Assumptions'!$F$48*12,'Summary &amp; Assumptions'!$F$34,MAX(1,(11-'Summary &amp; Assumptions'!$F$47-1)*12+1),MIN((11-'Summary &amp; Assumptions'!$F$47)*12,'Summary &amp; Assumptions'!$F$48*12),0))),0),0)</f>
        <v/>
      </c>
      <c r="Q27" s="53">
        <f>IFERROR(IF(AND('Summary &amp; Assumptions'!$F$31="Yes",12&lt;='Summary &amp; Assumptions'!$C$23,'Summary &amp; Assumptions'!$F$34&gt;0),IF(12&lt;='Summary &amp; Assumptions'!$F$47,'Summary &amp; Assumptions'!$F$34*'Summary &amp; Assumptions'!$F$40,IF('Summary &amp; Assumptions'!$F$40=0,0,-CUMIPMT('Summary &amp; Assumptions'!$F$40/12,'Summary &amp; Assumptions'!$F$48*12,'Summary &amp; Assumptions'!$F$34,MAX(1,(12-'Summary &amp; Assumptions'!$F$47-1)*12+1),MIN((12-'Summary &amp; Assumptions'!$F$47)*12,'Summary &amp; Assumptions'!$F$48*12),0))),0),0)</f>
        <v/>
      </c>
      <c r="R27" s="53">
        <f>IFERROR(IF(AND('Summary &amp; Assumptions'!$F$31="Yes",13&lt;='Summary &amp; Assumptions'!$C$23,'Summary &amp; Assumptions'!$F$34&gt;0),IF(13&lt;='Summary &amp; Assumptions'!$F$47,'Summary &amp; Assumptions'!$F$34*'Summary &amp; Assumptions'!$F$40,IF('Summary &amp; Assumptions'!$F$40=0,0,-CUMIPMT('Summary &amp; Assumptions'!$F$40/12,'Summary &amp; Assumptions'!$F$48*12,'Summary &amp; Assumptions'!$F$34,MAX(1,(13-'Summary &amp; Assumptions'!$F$47-1)*12+1),MIN((13-'Summary &amp; Assumptions'!$F$47)*12,'Summary &amp; Assumptions'!$F$48*12),0))),0),0)</f>
        <v/>
      </c>
      <c r="S27" s="53">
        <f>IFERROR(IF(AND('Summary &amp; Assumptions'!$F$31="Yes",14&lt;='Summary &amp; Assumptions'!$C$23,'Summary &amp; Assumptions'!$F$34&gt;0),IF(14&lt;='Summary &amp; Assumptions'!$F$47,'Summary &amp; Assumptions'!$F$34*'Summary &amp; Assumptions'!$F$40,IF('Summary &amp; Assumptions'!$F$40=0,0,-CUMIPMT('Summary &amp; Assumptions'!$F$40/12,'Summary &amp; Assumptions'!$F$48*12,'Summary &amp; Assumptions'!$F$34,MAX(1,(14-'Summary &amp; Assumptions'!$F$47-1)*12+1),MIN((14-'Summary &amp; Assumptions'!$F$47)*12,'Summary &amp; Assumptions'!$F$48*12),0))),0),0)</f>
        <v/>
      </c>
      <c r="T27" s="53">
        <f>IFERROR(IF(AND('Summary &amp; Assumptions'!$F$31="Yes",15&lt;='Summary &amp; Assumptions'!$C$23,'Summary &amp; Assumptions'!$F$34&gt;0),IF(15&lt;='Summary &amp; Assumptions'!$F$47,'Summary &amp; Assumptions'!$F$34*'Summary &amp; Assumptions'!$F$40,IF('Summary &amp; Assumptions'!$F$40=0,0,-CUMIPMT('Summary &amp; Assumptions'!$F$40/12,'Summary &amp; Assumptions'!$F$48*12,'Summary &amp; Assumptions'!$F$34,MAX(1,(15-'Summary &amp; Assumptions'!$F$47-1)*12+1),MIN((15-'Summary &amp; Assumptions'!$F$47)*12,'Summary &amp; Assumptions'!$F$48*12),0))),0),0)</f>
        <v/>
      </c>
      <c r="U27" s="1" t="n"/>
      <c r="V27" s="1" t="n"/>
    </row>
    <row r="28" hidden="1" outlineLevel="1">
      <c r="A28" s="1" t="n"/>
      <c r="B28" s="3" t="inlineStr">
        <is>
          <t xml:space="preserve">    Custom 1</t>
        </is>
      </c>
      <c r="C28" s="1" t="n"/>
      <c r="D28" s="1" t="n"/>
      <c r="E28" s="1" t="n"/>
      <c r="F28" s="53">
        <f>IFERROR(IF(AND('Summary &amp; Assumptions'!$G$31="Yes",1&lt;='Summary &amp; Assumptions'!$C$23,'Summary &amp; Assumptions'!$G$34&gt;0),IF(1&lt;='Summary &amp; Assumptions'!$G$47,'Summary &amp; Assumptions'!$G$34*'Summary &amp; Assumptions'!$G$40,IF('Summary &amp; Assumptions'!$G$40=0,0,-CUMIPMT('Summary &amp; Assumptions'!$G$40/12,'Summary &amp; Assumptions'!$G$48*12,'Summary &amp; Assumptions'!$G$34,MAX(1,(1-'Summary &amp; Assumptions'!$G$47-1)*12+1),MIN((1-'Summary &amp; Assumptions'!$G$47)*12,'Summary &amp; Assumptions'!$G$48*12),0))),0),0)</f>
        <v/>
      </c>
      <c r="G28" s="53">
        <f>IFERROR(IF(AND('Summary &amp; Assumptions'!$G$31="Yes",2&lt;='Summary &amp; Assumptions'!$C$23,'Summary &amp; Assumptions'!$G$34&gt;0),IF(2&lt;='Summary &amp; Assumptions'!$G$47,'Summary &amp; Assumptions'!$G$34*'Summary &amp; Assumptions'!$G$40,IF('Summary &amp; Assumptions'!$G$40=0,0,-CUMIPMT('Summary &amp; Assumptions'!$G$40/12,'Summary &amp; Assumptions'!$G$48*12,'Summary &amp; Assumptions'!$G$34,MAX(1,(2-'Summary &amp; Assumptions'!$G$47-1)*12+1),MIN((2-'Summary &amp; Assumptions'!$G$47)*12,'Summary &amp; Assumptions'!$G$48*12),0))),0),0)</f>
        <v/>
      </c>
      <c r="H28" s="53">
        <f>IFERROR(IF(AND('Summary &amp; Assumptions'!$G$31="Yes",3&lt;='Summary &amp; Assumptions'!$C$23,'Summary &amp; Assumptions'!$G$34&gt;0),IF(3&lt;='Summary &amp; Assumptions'!$G$47,'Summary &amp; Assumptions'!$G$34*'Summary &amp; Assumptions'!$G$40,IF('Summary &amp; Assumptions'!$G$40=0,0,-CUMIPMT('Summary &amp; Assumptions'!$G$40/12,'Summary &amp; Assumptions'!$G$48*12,'Summary &amp; Assumptions'!$G$34,MAX(1,(3-'Summary &amp; Assumptions'!$G$47-1)*12+1),MIN((3-'Summary &amp; Assumptions'!$G$47)*12,'Summary &amp; Assumptions'!$G$48*12),0))),0),0)</f>
        <v/>
      </c>
      <c r="I28" s="53">
        <f>IFERROR(IF(AND('Summary &amp; Assumptions'!$G$31="Yes",4&lt;='Summary &amp; Assumptions'!$C$23,'Summary &amp; Assumptions'!$G$34&gt;0),IF(4&lt;='Summary &amp; Assumptions'!$G$47,'Summary &amp; Assumptions'!$G$34*'Summary &amp; Assumptions'!$G$40,IF('Summary &amp; Assumptions'!$G$40=0,0,-CUMIPMT('Summary &amp; Assumptions'!$G$40/12,'Summary &amp; Assumptions'!$G$48*12,'Summary &amp; Assumptions'!$G$34,MAX(1,(4-'Summary &amp; Assumptions'!$G$47-1)*12+1),MIN((4-'Summary &amp; Assumptions'!$G$47)*12,'Summary &amp; Assumptions'!$G$48*12),0))),0),0)</f>
        <v/>
      </c>
      <c r="J28" s="53">
        <f>IFERROR(IF(AND('Summary &amp; Assumptions'!$G$31="Yes",5&lt;='Summary &amp; Assumptions'!$C$23,'Summary &amp; Assumptions'!$G$34&gt;0),IF(5&lt;='Summary &amp; Assumptions'!$G$47,'Summary &amp; Assumptions'!$G$34*'Summary &amp; Assumptions'!$G$40,IF('Summary &amp; Assumptions'!$G$40=0,0,-CUMIPMT('Summary &amp; Assumptions'!$G$40/12,'Summary &amp; Assumptions'!$G$48*12,'Summary &amp; Assumptions'!$G$34,MAX(1,(5-'Summary &amp; Assumptions'!$G$47-1)*12+1),MIN((5-'Summary &amp; Assumptions'!$G$47)*12,'Summary &amp; Assumptions'!$G$48*12),0))),0),0)</f>
        <v/>
      </c>
      <c r="K28" s="53">
        <f>IFERROR(IF(AND('Summary &amp; Assumptions'!$G$31="Yes",6&lt;='Summary &amp; Assumptions'!$C$23,'Summary &amp; Assumptions'!$G$34&gt;0),IF(6&lt;='Summary &amp; Assumptions'!$G$47,'Summary &amp; Assumptions'!$G$34*'Summary &amp; Assumptions'!$G$40,IF('Summary &amp; Assumptions'!$G$40=0,0,-CUMIPMT('Summary &amp; Assumptions'!$G$40/12,'Summary &amp; Assumptions'!$G$48*12,'Summary &amp; Assumptions'!$G$34,MAX(1,(6-'Summary &amp; Assumptions'!$G$47-1)*12+1),MIN((6-'Summary &amp; Assumptions'!$G$47)*12,'Summary &amp; Assumptions'!$G$48*12),0))),0),0)</f>
        <v/>
      </c>
      <c r="L28" s="53">
        <f>IFERROR(IF(AND('Summary &amp; Assumptions'!$G$31="Yes",7&lt;='Summary &amp; Assumptions'!$C$23,'Summary &amp; Assumptions'!$G$34&gt;0),IF(7&lt;='Summary &amp; Assumptions'!$G$47,'Summary &amp; Assumptions'!$G$34*'Summary &amp; Assumptions'!$G$40,IF('Summary &amp; Assumptions'!$G$40=0,0,-CUMIPMT('Summary &amp; Assumptions'!$G$40/12,'Summary &amp; Assumptions'!$G$48*12,'Summary &amp; Assumptions'!$G$34,MAX(1,(7-'Summary &amp; Assumptions'!$G$47-1)*12+1),MIN((7-'Summary &amp; Assumptions'!$G$47)*12,'Summary &amp; Assumptions'!$G$48*12),0))),0),0)</f>
        <v/>
      </c>
      <c r="M28" s="53">
        <f>IFERROR(IF(AND('Summary &amp; Assumptions'!$G$31="Yes",8&lt;='Summary &amp; Assumptions'!$C$23,'Summary &amp; Assumptions'!$G$34&gt;0),IF(8&lt;='Summary &amp; Assumptions'!$G$47,'Summary &amp; Assumptions'!$G$34*'Summary &amp; Assumptions'!$G$40,IF('Summary &amp; Assumptions'!$G$40=0,0,-CUMIPMT('Summary &amp; Assumptions'!$G$40/12,'Summary &amp; Assumptions'!$G$48*12,'Summary &amp; Assumptions'!$G$34,MAX(1,(8-'Summary &amp; Assumptions'!$G$47-1)*12+1),MIN((8-'Summary &amp; Assumptions'!$G$47)*12,'Summary &amp; Assumptions'!$G$48*12),0))),0),0)</f>
        <v/>
      </c>
      <c r="N28" s="53">
        <f>IFERROR(IF(AND('Summary &amp; Assumptions'!$G$31="Yes",9&lt;='Summary &amp; Assumptions'!$C$23,'Summary &amp; Assumptions'!$G$34&gt;0),IF(9&lt;='Summary &amp; Assumptions'!$G$47,'Summary &amp; Assumptions'!$G$34*'Summary &amp; Assumptions'!$G$40,IF('Summary &amp; Assumptions'!$G$40=0,0,-CUMIPMT('Summary &amp; Assumptions'!$G$40/12,'Summary &amp; Assumptions'!$G$48*12,'Summary &amp; Assumptions'!$G$34,MAX(1,(9-'Summary &amp; Assumptions'!$G$47-1)*12+1),MIN((9-'Summary &amp; Assumptions'!$G$47)*12,'Summary &amp; Assumptions'!$G$48*12),0))),0),0)</f>
        <v/>
      </c>
      <c r="O28" s="53">
        <f>IFERROR(IF(AND('Summary &amp; Assumptions'!$G$31="Yes",10&lt;='Summary &amp; Assumptions'!$C$23,'Summary &amp; Assumptions'!$G$34&gt;0),IF(10&lt;='Summary &amp; Assumptions'!$G$47,'Summary &amp; Assumptions'!$G$34*'Summary &amp; Assumptions'!$G$40,IF('Summary &amp; Assumptions'!$G$40=0,0,-CUMIPMT('Summary &amp; Assumptions'!$G$40/12,'Summary &amp; Assumptions'!$G$48*12,'Summary &amp; Assumptions'!$G$34,MAX(1,(10-'Summary &amp; Assumptions'!$G$47-1)*12+1),MIN((10-'Summary &amp; Assumptions'!$G$47)*12,'Summary &amp; Assumptions'!$G$48*12),0))),0),0)</f>
        <v/>
      </c>
      <c r="P28" s="53">
        <f>IFERROR(IF(AND('Summary &amp; Assumptions'!$G$31="Yes",11&lt;='Summary &amp; Assumptions'!$C$23,'Summary &amp; Assumptions'!$G$34&gt;0),IF(11&lt;='Summary &amp; Assumptions'!$G$47,'Summary &amp; Assumptions'!$G$34*'Summary &amp; Assumptions'!$G$40,IF('Summary &amp; Assumptions'!$G$40=0,0,-CUMIPMT('Summary &amp; Assumptions'!$G$40/12,'Summary &amp; Assumptions'!$G$48*12,'Summary &amp; Assumptions'!$G$34,MAX(1,(11-'Summary &amp; Assumptions'!$G$47-1)*12+1),MIN((11-'Summary &amp; Assumptions'!$G$47)*12,'Summary &amp; Assumptions'!$G$48*12),0))),0),0)</f>
        <v/>
      </c>
      <c r="Q28" s="53">
        <f>IFERROR(IF(AND('Summary &amp; Assumptions'!$G$31="Yes",12&lt;='Summary &amp; Assumptions'!$C$23,'Summary &amp; Assumptions'!$G$34&gt;0),IF(12&lt;='Summary &amp; Assumptions'!$G$47,'Summary &amp; Assumptions'!$G$34*'Summary &amp; Assumptions'!$G$40,IF('Summary &amp; Assumptions'!$G$40=0,0,-CUMIPMT('Summary &amp; Assumptions'!$G$40/12,'Summary &amp; Assumptions'!$G$48*12,'Summary &amp; Assumptions'!$G$34,MAX(1,(12-'Summary &amp; Assumptions'!$G$47-1)*12+1),MIN((12-'Summary &amp; Assumptions'!$G$47)*12,'Summary &amp; Assumptions'!$G$48*12),0))),0),0)</f>
        <v/>
      </c>
      <c r="R28" s="53">
        <f>IFERROR(IF(AND('Summary &amp; Assumptions'!$G$31="Yes",13&lt;='Summary &amp; Assumptions'!$C$23,'Summary &amp; Assumptions'!$G$34&gt;0),IF(13&lt;='Summary &amp; Assumptions'!$G$47,'Summary &amp; Assumptions'!$G$34*'Summary &amp; Assumptions'!$G$40,IF('Summary &amp; Assumptions'!$G$40=0,0,-CUMIPMT('Summary &amp; Assumptions'!$G$40/12,'Summary &amp; Assumptions'!$G$48*12,'Summary &amp; Assumptions'!$G$34,MAX(1,(13-'Summary &amp; Assumptions'!$G$47-1)*12+1),MIN((13-'Summary &amp; Assumptions'!$G$47)*12,'Summary &amp; Assumptions'!$G$48*12),0))),0),0)</f>
        <v/>
      </c>
      <c r="S28" s="53">
        <f>IFERROR(IF(AND('Summary &amp; Assumptions'!$G$31="Yes",14&lt;='Summary &amp; Assumptions'!$C$23,'Summary &amp; Assumptions'!$G$34&gt;0),IF(14&lt;='Summary &amp; Assumptions'!$G$47,'Summary &amp; Assumptions'!$G$34*'Summary &amp; Assumptions'!$G$40,IF('Summary &amp; Assumptions'!$G$40=0,0,-CUMIPMT('Summary &amp; Assumptions'!$G$40/12,'Summary &amp; Assumptions'!$G$48*12,'Summary &amp; Assumptions'!$G$34,MAX(1,(14-'Summary &amp; Assumptions'!$G$47-1)*12+1),MIN((14-'Summary &amp; Assumptions'!$G$47)*12,'Summary &amp; Assumptions'!$G$48*12),0))),0),0)</f>
        <v/>
      </c>
      <c r="T28" s="53">
        <f>IFERROR(IF(AND('Summary &amp; Assumptions'!$G$31="Yes",15&lt;='Summary &amp; Assumptions'!$C$23,'Summary &amp; Assumptions'!$G$34&gt;0),IF(15&lt;='Summary &amp; Assumptions'!$G$47,'Summary &amp; Assumptions'!$G$34*'Summary &amp; Assumptions'!$G$40,IF('Summary &amp; Assumptions'!$G$40=0,0,-CUMIPMT('Summary &amp; Assumptions'!$G$40/12,'Summary &amp; Assumptions'!$G$48*12,'Summary &amp; Assumptions'!$G$34,MAX(1,(15-'Summary &amp; Assumptions'!$G$47-1)*12+1),MIN((15-'Summary &amp; Assumptions'!$G$47)*12,'Summary &amp; Assumptions'!$G$48*12),0))),0),0)</f>
        <v/>
      </c>
      <c r="U28" s="1" t="n"/>
      <c r="V28" s="1" t="n"/>
    </row>
    <row r="29" hidden="1" outlineLevel="1">
      <c r="A29" s="1" t="n"/>
      <c r="B29" s="3" t="inlineStr">
        <is>
          <t xml:space="preserve">    Custom 2</t>
        </is>
      </c>
      <c r="C29" s="1" t="n"/>
      <c r="D29" s="1" t="n"/>
      <c r="E29" s="1" t="n"/>
      <c r="F29" s="53">
        <f>IFERROR(IF(AND('Summary &amp; Assumptions'!$H$31="Yes",1&lt;='Summary &amp; Assumptions'!$C$23,'Summary &amp; Assumptions'!$H$34&gt;0),IF(1&lt;='Summary &amp; Assumptions'!$H$47,'Summary &amp; Assumptions'!$H$34*'Summary &amp; Assumptions'!$H$40,IF('Summary &amp; Assumptions'!$H$40=0,0,-CUMIPMT('Summary &amp; Assumptions'!$H$40/12,'Summary &amp; Assumptions'!$H$48*12,'Summary &amp; Assumptions'!$H$34,MAX(1,(1-'Summary &amp; Assumptions'!$H$47-1)*12+1),MIN((1-'Summary &amp; Assumptions'!$H$47)*12,'Summary &amp; Assumptions'!$H$48*12),0))),0),0)</f>
        <v/>
      </c>
      <c r="G29" s="53">
        <f>IFERROR(IF(AND('Summary &amp; Assumptions'!$H$31="Yes",2&lt;='Summary &amp; Assumptions'!$C$23,'Summary &amp; Assumptions'!$H$34&gt;0),IF(2&lt;='Summary &amp; Assumptions'!$H$47,'Summary &amp; Assumptions'!$H$34*'Summary &amp; Assumptions'!$H$40,IF('Summary &amp; Assumptions'!$H$40=0,0,-CUMIPMT('Summary &amp; Assumptions'!$H$40/12,'Summary &amp; Assumptions'!$H$48*12,'Summary &amp; Assumptions'!$H$34,MAX(1,(2-'Summary &amp; Assumptions'!$H$47-1)*12+1),MIN((2-'Summary &amp; Assumptions'!$H$47)*12,'Summary &amp; Assumptions'!$H$48*12),0))),0),0)</f>
        <v/>
      </c>
      <c r="H29" s="53">
        <f>IFERROR(IF(AND('Summary &amp; Assumptions'!$H$31="Yes",3&lt;='Summary &amp; Assumptions'!$C$23,'Summary &amp; Assumptions'!$H$34&gt;0),IF(3&lt;='Summary &amp; Assumptions'!$H$47,'Summary &amp; Assumptions'!$H$34*'Summary &amp; Assumptions'!$H$40,IF('Summary &amp; Assumptions'!$H$40=0,0,-CUMIPMT('Summary &amp; Assumptions'!$H$40/12,'Summary &amp; Assumptions'!$H$48*12,'Summary &amp; Assumptions'!$H$34,MAX(1,(3-'Summary &amp; Assumptions'!$H$47-1)*12+1),MIN((3-'Summary &amp; Assumptions'!$H$47)*12,'Summary &amp; Assumptions'!$H$48*12),0))),0),0)</f>
        <v/>
      </c>
      <c r="I29" s="53">
        <f>IFERROR(IF(AND('Summary &amp; Assumptions'!$H$31="Yes",4&lt;='Summary &amp; Assumptions'!$C$23,'Summary &amp; Assumptions'!$H$34&gt;0),IF(4&lt;='Summary &amp; Assumptions'!$H$47,'Summary &amp; Assumptions'!$H$34*'Summary &amp; Assumptions'!$H$40,IF('Summary &amp; Assumptions'!$H$40=0,0,-CUMIPMT('Summary &amp; Assumptions'!$H$40/12,'Summary &amp; Assumptions'!$H$48*12,'Summary &amp; Assumptions'!$H$34,MAX(1,(4-'Summary &amp; Assumptions'!$H$47-1)*12+1),MIN((4-'Summary &amp; Assumptions'!$H$47)*12,'Summary &amp; Assumptions'!$H$48*12),0))),0),0)</f>
        <v/>
      </c>
      <c r="J29" s="53">
        <f>IFERROR(IF(AND('Summary &amp; Assumptions'!$H$31="Yes",5&lt;='Summary &amp; Assumptions'!$C$23,'Summary &amp; Assumptions'!$H$34&gt;0),IF(5&lt;='Summary &amp; Assumptions'!$H$47,'Summary &amp; Assumptions'!$H$34*'Summary &amp; Assumptions'!$H$40,IF('Summary &amp; Assumptions'!$H$40=0,0,-CUMIPMT('Summary &amp; Assumptions'!$H$40/12,'Summary &amp; Assumptions'!$H$48*12,'Summary &amp; Assumptions'!$H$34,MAX(1,(5-'Summary &amp; Assumptions'!$H$47-1)*12+1),MIN((5-'Summary &amp; Assumptions'!$H$47)*12,'Summary &amp; Assumptions'!$H$48*12),0))),0),0)</f>
        <v/>
      </c>
      <c r="K29" s="53">
        <f>IFERROR(IF(AND('Summary &amp; Assumptions'!$H$31="Yes",6&lt;='Summary &amp; Assumptions'!$C$23,'Summary &amp; Assumptions'!$H$34&gt;0),IF(6&lt;='Summary &amp; Assumptions'!$H$47,'Summary &amp; Assumptions'!$H$34*'Summary &amp; Assumptions'!$H$40,IF('Summary &amp; Assumptions'!$H$40=0,0,-CUMIPMT('Summary &amp; Assumptions'!$H$40/12,'Summary &amp; Assumptions'!$H$48*12,'Summary &amp; Assumptions'!$H$34,MAX(1,(6-'Summary &amp; Assumptions'!$H$47-1)*12+1),MIN((6-'Summary &amp; Assumptions'!$H$47)*12,'Summary &amp; Assumptions'!$H$48*12),0))),0),0)</f>
        <v/>
      </c>
      <c r="L29" s="53">
        <f>IFERROR(IF(AND('Summary &amp; Assumptions'!$H$31="Yes",7&lt;='Summary &amp; Assumptions'!$C$23,'Summary &amp; Assumptions'!$H$34&gt;0),IF(7&lt;='Summary &amp; Assumptions'!$H$47,'Summary &amp; Assumptions'!$H$34*'Summary &amp; Assumptions'!$H$40,IF('Summary &amp; Assumptions'!$H$40=0,0,-CUMIPMT('Summary &amp; Assumptions'!$H$40/12,'Summary &amp; Assumptions'!$H$48*12,'Summary &amp; Assumptions'!$H$34,MAX(1,(7-'Summary &amp; Assumptions'!$H$47-1)*12+1),MIN((7-'Summary &amp; Assumptions'!$H$47)*12,'Summary &amp; Assumptions'!$H$48*12),0))),0),0)</f>
        <v/>
      </c>
      <c r="M29" s="53">
        <f>IFERROR(IF(AND('Summary &amp; Assumptions'!$H$31="Yes",8&lt;='Summary &amp; Assumptions'!$C$23,'Summary &amp; Assumptions'!$H$34&gt;0),IF(8&lt;='Summary &amp; Assumptions'!$H$47,'Summary &amp; Assumptions'!$H$34*'Summary &amp; Assumptions'!$H$40,IF('Summary &amp; Assumptions'!$H$40=0,0,-CUMIPMT('Summary &amp; Assumptions'!$H$40/12,'Summary &amp; Assumptions'!$H$48*12,'Summary &amp; Assumptions'!$H$34,MAX(1,(8-'Summary &amp; Assumptions'!$H$47-1)*12+1),MIN((8-'Summary &amp; Assumptions'!$H$47)*12,'Summary &amp; Assumptions'!$H$48*12),0))),0),0)</f>
        <v/>
      </c>
      <c r="N29" s="53">
        <f>IFERROR(IF(AND('Summary &amp; Assumptions'!$H$31="Yes",9&lt;='Summary &amp; Assumptions'!$C$23,'Summary &amp; Assumptions'!$H$34&gt;0),IF(9&lt;='Summary &amp; Assumptions'!$H$47,'Summary &amp; Assumptions'!$H$34*'Summary &amp; Assumptions'!$H$40,IF('Summary &amp; Assumptions'!$H$40=0,0,-CUMIPMT('Summary &amp; Assumptions'!$H$40/12,'Summary &amp; Assumptions'!$H$48*12,'Summary &amp; Assumptions'!$H$34,MAX(1,(9-'Summary &amp; Assumptions'!$H$47-1)*12+1),MIN((9-'Summary &amp; Assumptions'!$H$47)*12,'Summary &amp; Assumptions'!$H$48*12),0))),0),0)</f>
        <v/>
      </c>
      <c r="O29" s="53">
        <f>IFERROR(IF(AND('Summary &amp; Assumptions'!$H$31="Yes",10&lt;='Summary &amp; Assumptions'!$C$23,'Summary &amp; Assumptions'!$H$34&gt;0),IF(10&lt;='Summary &amp; Assumptions'!$H$47,'Summary &amp; Assumptions'!$H$34*'Summary &amp; Assumptions'!$H$40,IF('Summary &amp; Assumptions'!$H$40=0,0,-CUMIPMT('Summary &amp; Assumptions'!$H$40/12,'Summary &amp; Assumptions'!$H$48*12,'Summary &amp; Assumptions'!$H$34,MAX(1,(10-'Summary &amp; Assumptions'!$H$47-1)*12+1),MIN((10-'Summary &amp; Assumptions'!$H$47)*12,'Summary &amp; Assumptions'!$H$48*12),0))),0),0)</f>
        <v/>
      </c>
      <c r="P29" s="53">
        <f>IFERROR(IF(AND('Summary &amp; Assumptions'!$H$31="Yes",11&lt;='Summary &amp; Assumptions'!$C$23,'Summary &amp; Assumptions'!$H$34&gt;0),IF(11&lt;='Summary &amp; Assumptions'!$H$47,'Summary &amp; Assumptions'!$H$34*'Summary &amp; Assumptions'!$H$40,IF('Summary &amp; Assumptions'!$H$40=0,0,-CUMIPMT('Summary &amp; Assumptions'!$H$40/12,'Summary &amp; Assumptions'!$H$48*12,'Summary &amp; Assumptions'!$H$34,MAX(1,(11-'Summary &amp; Assumptions'!$H$47-1)*12+1),MIN((11-'Summary &amp; Assumptions'!$H$47)*12,'Summary &amp; Assumptions'!$H$48*12),0))),0),0)</f>
        <v/>
      </c>
      <c r="Q29" s="53">
        <f>IFERROR(IF(AND('Summary &amp; Assumptions'!$H$31="Yes",12&lt;='Summary &amp; Assumptions'!$C$23,'Summary &amp; Assumptions'!$H$34&gt;0),IF(12&lt;='Summary &amp; Assumptions'!$H$47,'Summary &amp; Assumptions'!$H$34*'Summary &amp; Assumptions'!$H$40,IF('Summary &amp; Assumptions'!$H$40=0,0,-CUMIPMT('Summary &amp; Assumptions'!$H$40/12,'Summary &amp; Assumptions'!$H$48*12,'Summary &amp; Assumptions'!$H$34,MAX(1,(12-'Summary &amp; Assumptions'!$H$47-1)*12+1),MIN((12-'Summary &amp; Assumptions'!$H$47)*12,'Summary &amp; Assumptions'!$H$48*12),0))),0),0)</f>
        <v/>
      </c>
      <c r="R29" s="53">
        <f>IFERROR(IF(AND('Summary &amp; Assumptions'!$H$31="Yes",13&lt;='Summary &amp; Assumptions'!$C$23,'Summary &amp; Assumptions'!$H$34&gt;0),IF(13&lt;='Summary &amp; Assumptions'!$H$47,'Summary &amp; Assumptions'!$H$34*'Summary &amp; Assumptions'!$H$40,IF('Summary &amp; Assumptions'!$H$40=0,0,-CUMIPMT('Summary &amp; Assumptions'!$H$40/12,'Summary &amp; Assumptions'!$H$48*12,'Summary &amp; Assumptions'!$H$34,MAX(1,(13-'Summary &amp; Assumptions'!$H$47-1)*12+1),MIN((13-'Summary &amp; Assumptions'!$H$47)*12,'Summary &amp; Assumptions'!$H$48*12),0))),0),0)</f>
        <v/>
      </c>
      <c r="S29" s="53">
        <f>IFERROR(IF(AND('Summary &amp; Assumptions'!$H$31="Yes",14&lt;='Summary &amp; Assumptions'!$C$23,'Summary &amp; Assumptions'!$H$34&gt;0),IF(14&lt;='Summary &amp; Assumptions'!$H$47,'Summary &amp; Assumptions'!$H$34*'Summary &amp; Assumptions'!$H$40,IF('Summary &amp; Assumptions'!$H$40=0,0,-CUMIPMT('Summary &amp; Assumptions'!$H$40/12,'Summary &amp; Assumptions'!$H$48*12,'Summary &amp; Assumptions'!$H$34,MAX(1,(14-'Summary &amp; Assumptions'!$H$47-1)*12+1),MIN((14-'Summary &amp; Assumptions'!$H$47)*12,'Summary &amp; Assumptions'!$H$48*12),0))),0),0)</f>
        <v/>
      </c>
      <c r="T29" s="53">
        <f>IFERROR(IF(AND('Summary &amp; Assumptions'!$H$31="Yes",15&lt;='Summary &amp; Assumptions'!$C$23,'Summary &amp; Assumptions'!$H$34&gt;0),IF(15&lt;='Summary &amp; Assumptions'!$H$47,'Summary &amp; Assumptions'!$H$34*'Summary &amp; Assumptions'!$H$40,IF('Summary &amp; Assumptions'!$H$40=0,0,-CUMIPMT('Summary &amp; Assumptions'!$H$40/12,'Summary &amp; Assumptions'!$H$48*12,'Summary &amp; Assumptions'!$H$34,MAX(1,(15-'Summary &amp; Assumptions'!$H$47-1)*12+1),MIN((15-'Summary &amp; Assumptions'!$H$47)*12,'Summary &amp; Assumptions'!$H$48*12),0))),0),0)</f>
        <v/>
      </c>
      <c r="U29" s="1" t="n"/>
      <c r="V29" s="1" t="n"/>
    </row>
    <row r="30" hidden="1" outlineLevel="1">
      <c r="A30" s="1" t="n"/>
      <c r="B30" s="3" t="inlineStr">
        <is>
          <t xml:space="preserve">    Reno Line of Credit</t>
        </is>
      </c>
      <c r="C30" s="1" t="n"/>
      <c r="D30" s="1" t="n"/>
      <c r="E30" s="1" t="n"/>
      <c r="F30" s="53" t="n">
        <v>0</v>
      </c>
      <c r="G30" s="53" t="n">
        <v>0</v>
      </c>
      <c r="H30" s="53" t="n">
        <v>0</v>
      </c>
      <c r="I30" s="53" t="n">
        <v>0</v>
      </c>
      <c r="J30" s="53" t="n">
        <v>0</v>
      </c>
      <c r="K30" s="53" t="n">
        <v>0</v>
      </c>
      <c r="L30" s="53" t="n">
        <v>0</v>
      </c>
      <c r="M30" s="53" t="n">
        <v>0</v>
      </c>
      <c r="N30" s="53" t="n">
        <v>0</v>
      </c>
      <c r="O30" s="53" t="n">
        <v>0</v>
      </c>
      <c r="P30" s="53" t="n">
        <v>0</v>
      </c>
      <c r="Q30" s="53" t="n">
        <v>0</v>
      </c>
      <c r="R30" s="53" t="n">
        <v>0</v>
      </c>
      <c r="S30" s="53" t="n">
        <v>0</v>
      </c>
      <c r="T30" s="53" t="n">
        <v>0</v>
      </c>
      <c r="U30" s="1" t="n"/>
      <c r="V30" s="1" t="n"/>
    </row>
    <row r="31">
      <c r="A31" s="1" t="n"/>
      <c r="B31" s="17" t="inlineStr">
        <is>
          <t>Principal (scheduled)</t>
        </is>
      </c>
      <c r="C31" s="1" t="n"/>
      <c r="D31" s="1" t="n"/>
      <c r="E31" s="1" t="n"/>
      <c r="F31" s="38">
        <f>SUM(F32:F38)</f>
        <v/>
      </c>
      <c r="G31" s="38">
        <f>SUM(G32:G38)</f>
        <v/>
      </c>
      <c r="H31" s="38">
        <f>SUM(H32:H38)</f>
        <v/>
      </c>
      <c r="I31" s="38">
        <f>SUM(I32:I38)</f>
        <v/>
      </c>
      <c r="J31" s="38">
        <f>SUM(J32:J38)</f>
        <v/>
      </c>
      <c r="K31" s="38">
        <f>SUM(K32:K38)</f>
        <v/>
      </c>
      <c r="L31" s="38">
        <f>SUM(L32:L38)</f>
        <v/>
      </c>
      <c r="M31" s="38">
        <f>SUM(M32:M38)</f>
        <v/>
      </c>
      <c r="N31" s="38">
        <f>SUM(N32:N38)</f>
        <v/>
      </c>
      <c r="O31" s="38">
        <f>SUM(O32:O38)</f>
        <v/>
      </c>
      <c r="P31" s="38">
        <f>SUM(P32:P38)</f>
        <v/>
      </c>
      <c r="Q31" s="38">
        <f>SUM(Q32:Q38)</f>
        <v/>
      </c>
      <c r="R31" s="38">
        <f>SUM(R32:R38)</f>
        <v/>
      </c>
      <c r="S31" s="38">
        <f>SUM(S32:S38)</f>
        <v/>
      </c>
      <c r="T31" s="38">
        <f>SUM(T32:T38)</f>
        <v/>
      </c>
      <c r="U31" s="1" t="n"/>
      <c r="V31" s="1" t="n"/>
    </row>
    <row r="32" hidden="1" outlineLevel="1">
      <c r="A32" s="1" t="n"/>
      <c r="B32" s="3" t="inlineStr">
        <is>
          <t xml:space="preserve">    Senior</t>
        </is>
      </c>
      <c r="C32" s="1" t="n"/>
      <c r="D32" s="1" t="n"/>
      <c r="E32" s="1" t="n"/>
      <c r="F32" s="53">
        <f>IFERROR(IF(AND('Summary &amp; Assumptions'!$C$31="Yes",1&lt;='Summary &amp; Assumptions'!$C$23,'Summary &amp; Assumptions'!$C$34&gt;0),IF(1&lt;='Summary &amp; Assumptions'!$C$47,0,IF('Summary &amp; Assumptions'!$C$40=0,'Summary &amp; Assumptions'!$C$34*MAX(0,MIN((1-'Summary &amp; Assumptions'!$C$47)*12,'Summary &amp; Assumptions'!$C$48*12)-(1-'Summary &amp; Assumptions'!$C$47-1)*12)/('Summary &amp; Assumptions'!$C$48*12),-CUMPRINC('Summary &amp; Assumptions'!$C$40/12,'Summary &amp; Assumptions'!$C$48*12,'Summary &amp; Assumptions'!$C$34,MAX(1,(1-'Summary &amp; Assumptions'!$C$47-1)*12+1),MIN((1-'Summary &amp; Assumptions'!$C$47)*12,'Summary &amp; Assumptions'!$C$48*12),0))),0),0)</f>
        <v/>
      </c>
      <c r="G32" s="53">
        <f>IFERROR(IF(AND('Summary &amp; Assumptions'!$C$31="Yes",2&lt;='Summary &amp; Assumptions'!$C$23,'Summary &amp; Assumptions'!$C$34&gt;0),IF(2&lt;='Summary &amp; Assumptions'!$C$47,0,IF('Summary &amp; Assumptions'!$C$40=0,'Summary &amp; Assumptions'!$C$34*MAX(0,MIN((2-'Summary &amp; Assumptions'!$C$47)*12,'Summary &amp; Assumptions'!$C$48*12)-(2-'Summary &amp; Assumptions'!$C$47-1)*12)/('Summary &amp; Assumptions'!$C$48*12),-CUMPRINC('Summary &amp; Assumptions'!$C$40/12,'Summary &amp; Assumptions'!$C$48*12,'Summary &amp; Assumptions'!$C$34,MAX(1,(2-'Summary &amp; Assumptions'!$C$47-1)*12+1),MIN((2-'Summary &amp; Assumptions'!$C$47)*12,'Summary &amp; Assumptions'!$C$48*12),0))),0),0)</f>
        <v/>
      </c>
      <c r="H32" s="53">
        <f>IFERROR(IF(AND('Summary &amp; Assumptions'!$C$31="Yes",3&lt;='Summary &amp; Assumptions'!$C$23,'Summary &amp; Assumptions'!$C$34&gt;0),IF(3&lt;='Summary &amp; Assumptions'!$C$47,0,IF('Summary &amp; Assumptions'!$C$40=0,'Summary &amp; Assumptions'!$C$34*MAX(0,MIN((3-'Summary &amp; Assumptions'!$C$47)*12,'Summary &amp; Assumptions'!$C$48*12)-(3-'Summary &amp; Assumptions'!$C$47-1)*12)/('Summary &amp; Assumptions'!$C$48*12),-CUMPRINC('Summary &amp; Assumptions'!$C$40/12,'Summary &amp; Assumptions'!$C$48*12,'Summary &amp; Assumptions'!$C$34,MAX(1,(3-'Summary &amp; Assumptions'!$C$47-1)*12+1),MIN((3-'Summary &amp; Assumptions'!$C$47)*12,'Summary &amp; Assumptions'!$C$48*12),0))),0),0)</f>
        <v/>
      </c>
      <c r="I32" s="53">
        <f>IFERROR(IF(AND('Summary &amp; Assumptions'!$C$31="Yes",4&lt;='Summary &amp; Assumptions'!$C$23,'Summary &amp; Assumptions'!$C$34&gt;0),IF(4&lt;='Summary &amp; Assumptions'!$C$47,0,IF('Summary &amp; Assumptions'!$C$40=0,'Summary &amp; Assumptions'!$C$34*MAX(0,MIN((4-'Summary &amp; Assumptions'!$C$47)*12,'Summary &amp; Assumptions'!$C$48*12)-(4-'Summary &amp; Assumptions'!$C$47-1)*12)/('Summary &amp; Assumptions'!$C$48*12),-CUMPRINC('Summary &amp; Assumptions'!$C$40/12,'Summary &amp; Assumptions'!$C$48*12,'Summary &amp; Assumptions'!$C$34,MAX(1,(4-'Summary &amp; Assumptions'!$C$47-1)*12+1),MIN((4-'Summary &amp; Assumptions'!$C$47)*12,'Summary &amp; Assumptions'!$C$48*12),0))),0),0)</f>
        <v/>
      </c>
      <c r="J32" s="53">
        <f>IFERROR(IF(AND('Summary &amp; Assumptions'!$C$31="Yes",5&lt;='Summary &amp; Assumptions'!$C$23,'Summary &amp; Assumptions'!$C$34&gt;0),IF(5&lt;='Summary &amp; Assumptions'!$C$47,0,IF('Summary &amp; Assumptions'!$C$40=0,'Summary &amp; Assumptions'!$C$34*MAX(0,MIN((5-'Summary &amp; Assumptions'!$C$47)*12,'Summary &amp; Assumptions'!$C$48*12)-(5-'Summary &amp; Assumptions'!$C$47-1)*12)/('Summary &amp; Assumptions'!$C$48*12),-CUMPRINC('Summary &amp; Assumptions'!$C$40/12,'Summary &amp; Assumptions'!$C$48*12,'Summary &amp; Assumptions'!$C$34,MAX(1,(5-'Summary &amp; Assumptions'!$C$47-1)*12+1),MIN((5-'Summary &amp; Assumptions'!$C$47)*12,'Summary &amp; Assumptions'!$C$48*12),0))),0),0)</f>
        <v/>
      </c>
      <c r="K32" s="53">
        <f>IFERROR(IF(AND('Summary &amp; Assumptions'!$C$31="Yes",6&lt;='Summary &amp; Assumptions'!$C$23,'Summary &amp; Assumptions'!$C$34&gt;0),IF(6&lt;='Summary &amp; Assumptions'!$C$47,0,IF('Summary &amp; Assumptions'!$C$40=0,'Summary &amp; Assumptions'!$C$34*MAX(0,MIN((6-'Summary &amp; Assumptions'!$C$47)*12,'Summary &amp; Assumptions'!$C$48*12)-(6-'Summary &amp; Assumptions'!$C$47-1)*12)/('Summary &amp; Assumptions'!$C$48*12),-CUMPRINC('Summary &amp; Assumptions'!$C$40/12,'Summary &amp; Assumptions'!$C$48*12,'Summary &amp; Assumptions'!$C$34,MAX(1,(6-'Summary &amp; Assumptions'!$C$47-1)*12+1),MIN((6-'Summary &amp; Assumptions'!$C$47)*12,'Summary &amp; Assumptions'!$C$48*12),0))),0),0)</f>
        <v/>
      </c>
      <c r="L32" s="53">
        <f>IFERROR(IF(AND('Summary &amp; Assumptions'!$C$31="Yes",7&lt;='Summary &amp; Assumptions'!$C$23,'Summary &amp; Assumptions'!$C$34&gt;0),IF(7&lt;='Summary &amp; Assumptions'!$C$47,0,IF('Summary &amp; Assumptions'!$C$40=0,'Summary &amp; Assumptions'!$C$34*MAX(0,MIN((7-'Summary &amp; Assumptions'!$C$47)*12,'Summary &amp; Assumptions'!$C$48*12)-(7-'Summary &amp; Assumptions'!$C$47-1)*12)/('Summary &amp; Assumptions'!$C$48*12),-CUMPRINC('Summary &amp; Assumptions'!$C$40/12,'Summary &amp; Assumptions'!$C$48*12,'Summary &amp; Assumptions'!$C$34,MAX(1,(7-'Summary &amp; Assumptions'!$C$47-1)*12+1),MIN((7-'Summary &amp; Assumptions'!$C$47)*12,'Summary &amp; Assumptions'!$C$48*12),0))),0),0)</f>
        <v/>
      </c>
      <c r="M32" s="53">
        <f>IFERROR(IF(AND('Summary &amp; Assumptions'!$C$31="Yes",8&lt;='Summary &amp; Assumptions'!$C$23,'Summary &amp; Assumptions'!$C$34&gt;0),IF(8&lt;='Summary &amp; Assumptions'!$C$47,0,IF('Summary &amp; Assumptions'!$C$40=0,'Summary &amp; Assumptions'!$C$34*MAX(0,MIN((8-'Summary &amp; Assumptions'!$C$47)*12,'Summary &amp; Assumptions'!$C$48*12)-(8-'Summary &amp; Assumptions'!$C$47-1)*12)/('Summary &amp; Assumptions'!$C$48*12),-CUMPRINC('Summary &amp; Assumptions'!$C$40/12,'Summary &amp; Assumptions'!$C$48*12,'Summary &amp; Assumptions'!$C$34,MAX(1,(8-'Summary &amp; Assumptions'!$C$47-1)*12+1),MIN((8-'Summary &amp; Assumptions'!$C$47)*12,'Summary &amp; Assumptions'!$C$48*12),0))),0),0)</f>
        <v/>
      </c>
      <c r="N32" s="53">
        <f>IFERROR(IF(AND('Summary &amp; Assumptions'!$C$31="Yes",9&lt;='Summary &amp; Assumptions'!$C$23,'Summary &amp; Assumptions'!$C$34&gt;0),IF(9&lt;='Summary &amp; Assumptions'!$C$47,0,IF('Summary &amp; Assumptions'!$C$40=0,'Summary &amp; Assumptions'!$C$34*MAX(0,MIN((9-'Summary &amp; Assumptions'!$C$47)*12,'Summary &amp; Assumptions'!$C$48*12)-(9-'Summary &amp; Assumptions'!$C$47-1)*12)/('Summary &amp; Assumptions'!$C$48*12),-CUMPRINC('Summary &amp; Assumptions'!$C$40/12,'Summary &amp; Assumptions'!$C$48*12,'Summary &amp; Assumptions'!$C$34,MAX(1,(9-'Summary &amp; Assumptions'!$C$47-1)*12+1),MIN((9-'Summary &amp; Assumptions'!$C$47)*12,'Summary &amp; Assumptions'!$C$48*12),0))),0),0)</f>
        <v/>
      </c>
      <c r="O32" s="53">
        <f>IFERROR(IF(AND('Summary &amp; Assumptions'!$C$31="Yes",10&lt;='Summary &amp; Assumptions'!$C$23,'Summary &amp; Assumptions'!$C$34&gt;0),IF(10&lt;='Summary &amp; Assumptions'!$C$47,0,IF('Summary &amp; Assumptions'!$C$40=0,'Summary &amp; Assumptions'!$C$34*MAX(0,MIN((10-'Summary &amp; Assumptions'!$C$47)*12,'Summary &amp; Assumptions'!$C$48*12)-(10-'Summary &amp; Assumptions'!$C$47-1)*12)/('Summary &amp; Assumptions'!$C$48*12),-CUMPRINC('Summary &amp; Assumptions'!$C$40/12,'Summary &amp; Assumptions'!$C$48*12,'Summary &amp; Assumptions'!$C$34,MAX(1,(10-'Summary &amp; Assumptions'!$C$47-1)*12+1),MIN((10-'Summary &amp; Assumptions'!$C$47)*12,'Summary &amp; Assumptions'!$C$48*12),0))),0),0)</f>
        <v/>
      </c>
      <c r="P32" s="53">
        <f>IFERROR(IF(AND('Summary &amp; Assumptions'!$C$31="Yes",11&lt;='Summary &amp; Assumptions'!$C$23,'Summary &amp; Assumptions'!$C$34&gt;0),IF(11&lt;='Summary &amp; Assumptions'!$C$47,0,IF('Summary &amp; Assumptions'!$C$40=0,'Summary &amp; Assumptions'!$C$34*MAX(0,MIN((11-'Summary &amp; Assumptions'!$C$47)*12,'Summary &amp; Assumptions'!$C$48*12)-(11-'Summary &amp; Assumptions'!$C$47-1)*12)/('Summary &amp; Assumptions'!$C$48*12),-CUMPRINC('Summary &amp; Assumptions'!$C$40/12,'Summary &amp; Assumptions'!$C$48*12,'Summary &amp; Assumptions'!$C$34,MAX(1,(11-'Summary &amp; Assumptions'!$C$47-1)*12+1),MIN((11-'Summary &amp; Assumptions'!$C$47)*12,'Summary &amp; Assumptions'!$C$48*12),0))),0),0)</f>
        <v/>
      </c>
      <c r="Q32" s="53">
        <f>IFERROR(IF(AND('Summary &amp; Assumptions'!$C$31="Yes",12&lt;='Summary &amp; Assumptions'!$C$23,'Summary &amp; Assumptions'!$C$34&gt;0),IF(12&lt;='Summary &amp; Assumptions'!$C$47,0,IF('Summary &amp; Assumptions'!$C$40=0,'Summary &amp; Assumptions'!$C$34*MAX(0,MIN((12-'Summary &amp; Assumptions'!$C$47)*12,'Summary &amp; Assumptions'!$C$48*12)-(12-'Summary &amp; Assumptions'!$C$47-1)*12)/('Summary &amp; Assumptions'!$C$48*12),-CUMPRINC('Summary &amp; Assumptions'!$C$40/12,'Summary &amp; Assumptions'!$C$48*12,'Summary &amp; Assumptions'!$C$34,MAX(1,(12-'Summary &amp; Assumptions'!$C$47-1)*12+1),MIN((12-'Summary &amp; Assumptions'!$C$47)*12,'Summary &amp; Assumptions'!$C$48*12),0))),0),0)</f>
        <v/>
      </c>
      <c r="R32" s="53">
        <f>IFERROR(IF(AND('Summary &amp; Assumptions'!$C$31="Yes",13&lt;='Summary &amp; Assumptions'!$C$23,'Summary &amp; Assumptions'!$C$34&gt;0),IF(13&lt;='Summary &amp; Assumptions'!$C$47,0,IF('Summary &amp; Assumptions'!$C$40=0,'Summary &amp; Assumptions'!$C$34*MAX(0,MIN((13-'Summary &amp; Assumptions'!$C$47)*12,'Summary &amp; Assumptions'!$C$48*12)-(13-'Summary &amp; Assumptions'!$C$47-1)*12)/('Summary &amp; Assumptions'!$C$48*12),-CUMPRINC('Summary &amp; Assumptions'!$C$40/12,'Summary &amp; Assumptions'!$C$48*12,'Summary &amp; Assumptions'!$C$34,MAX(1,(13-'Summary &amp; Assumptions'!$C$47-1)*12+1),MIN((13-'Summary &amp; Assumptions'!$C$47)*12,'Summary &amp; Assumptions'!$C$48*12),0))),0),0)</f>
        <v/>
      </c>
      <c r="S32" s="53">
        <f>IFERROR(IF(AND('Summary &amp; Assumptions'!$C$31="Yes",14&lt;='Summary &amp; Assumptions'!$C$23,'Summary &amp; Assumptions'!$C$34&gt;0),IF(14&lt;='Summary &amp; Assumptions'!$C$47,0,IF('Summary &amp; Assumptions'!$C$40=0,'Summary &amp; Assumptions'!$C$34*MAX(0,MIN((14-'Summary &amp; Assumptions'!$C$47)*12,'Summary &amp; Assumptions'!$C$48*12)-(14-'Summary &amp; Assumptions'!$C$47-1)*12)/('Summary &amp; Assumptions'!$C$48*12),-CUMPRINC('Summary &amp; Assumptions'!$C$40/12,'Summary &amp; Assumptions'!$C$48*12,'Summary &amp; Assumptions'!$C$34,MAX(1,(14-'Summary &amp; Assumptions'!$C$47-1)*12+1),MIN((14-'Summary &amp; Assumptions'!$C$47)*12,'Summary &amp; Assumptions'!$C$48*12),0))),0),0)</f>
        <v/>
      </c>
      <c r="T32" s="53">
        <f>IFERROR(IF(AND('Summary &amp; Assumptions'!$C$31="Yes",15&lt;='Summary &amp; Assumptions'!$C$23,'Summary &amp; Assumptions'!$C$34&gt;0),IF(15&lt;='Summary &amp; Assumptions'!$C$47,0,IF('Summary &amp; Assumptions'!$C$40=0,'Summary &amp; Assumptions'!$C$34*MAX(0,MIN((15-'Summary &amp; Assumptions'!$C$47)*12,'Summary &amp; Assumptions'!$C$48*12)-(15-'Summary &amp; Assumptions'!$C$47-1)*12)/('Summary &amp; Assumptions'!$C$48*12),-CUMPRINC('Summary &amp; Assumptions'!$C$40/12,'Summary &amp; Assumptions'!$C$48*12,'Summary &amp; Assumptions'!$C$34,MAX(1,(15-'Summary &amp; Assumptions'!$C$47-1)*12+1),MIN((15-'Summary &amp; Assumptions'!$C$47)*12,'Summary &amp; Assumptions'!$C$48*12),0))),0),0)</f>
        <v/>
      </c>
      <c r="U32" s="1" t="n"/>
      <c r="V32" s="1" t="n"/>
    </row>
    <row r="33" hidden="1" outlineLevel="1">
      <c r="A33" s="1" t="n"/>
      <c r="B33" s="3" t="inlineStr">
        <is>
          <t xml:space="preserve">    Mezz</t>
        </is>
      </c>
      <c r="C33" s="1" t="n"/>
      <c r="D33" s="1" t="n"/>
      <c r="E33" s="1" t="n"/>
      <c r="F33" s="53">
        <f>IFERROR(IF(AND('Summary &amp; Assumptions'!$D$31="Yes",1&lt;='Summary &amp; Assumptions'!$C$23,'Summary &amp; Assumptions'!$D$34&gt;0),IF(1&lt;='Summary &amp; Assumptions'!$D$47,0,IF('Summary &amp; Assumptions'!$D$40=0,'Summary &amp; Assumptions'!$D$34*MAX(0,MIN((1-'Summary &amp; Assumptions'!$D$47)*12,'Summary &amp; Assumptions'!$D$48*12)-(1-'Summary &amp; Assumptions'!$D$47-1)*12)/('Summary &amp; Assumptions'!$D$48*12),-CUMPRINC('Summary &amp; Assumptions'!$D$40/12,'Summary &amp; Assumptions'!$D$48*12,'Summary &amp; Assumptions'!$D$34,MAX(1,(1-'Summary &amp; Assumptions'!$D$47-1)*12+1),MIN((1-'Summary &amp; Assumptions'!$D$47)*12,'Summary &amp; Assumptions'!$D$48*12),0))),0),0)</f>
        <v/>
      </c>
      <c r="G33" s="53">
        <f>IFERROR(IF(AND('Summary &amp; Assumptions'!$D$31="Yes",2&lt;='Summary &amp; Assumptions'!$C$23,'Summary &amp; Assumptions'!$D$34&gt;0),IF(2&lt;='Summary &amp; Assumptions'!$D$47,0,IF('Summary &amp; Assumptions'!$D$40=0,'Summary &amp; Assumptions'!$D$34*MAX(0,MIN((2-'Summary &amp; Assumptions'!$D$47)*12,'Summary &amp; Assumptions'!$D$48*12)-(2-'Summary &amp; Assumptions'!$D$47-1)*12)/('Summary &amp; Assumptions'!$D$48*12),-CUMPRINC('Summary &amp; Assumptions'!$D$40/12,'Summary &amp; Assumptions'!$D$48*12,'Summary &amp; Assumptions'!$D$34,MAX(1,(2-'Summary &amp; Assumptions'!$D$47-1)*12+1),MIN((2-'Summary &amp; Assumptions'!$D$47)*12,'Summary &amp; Assumptions'!$D$48*12),0))),0),0)</f>
        <v/>
      </c>
      <c r="H33" s="53">
        <f>IFERROR(IF(AND('Summary &amp; Assumptions'!$D$31="Yes",3&lt;='Summary &amp; Assumptions'!$C$23,'Summary &amp; Assumptions'!$D$34&gt;0),IF(3&lt;='Summary &amp; Assumptions'!$D$47,0,IF('Summary &amp; Assumptions'!$D$40=0,'Summary &amp; Assumptions'!$D$34*MAX(0,MIN((3-'Summary &amp; Assumptions'!$D$47)*12,'Summary &amp; Assumptions'!$D$48*12)-(3-'Summary &amp; Assumptions'!$D$47-1)*12)/('Summary &amp; Assumptions'!$D$48*12),-CUMPRINC('Summary &amp; Assumptions'!$D$40/12,'Summary &amp; Assumptions'!$D$48*12,'Summary &amp; Assumptions'!$D$34,MAX(1,(3-'Summary &amp; Assumptions'!$D$47-1)*12+1),MIN((3-'Summary &amp; Assumptions'!$D$47)*12,'Summary &amp; Assumptions'!$D$48*12),0))),0),0)</f>
        <v/>
      </c>
      <c r="I33" s="53">
        <f>IFERROR(IF(AND('Summary &amp; Assumptions'!$D$31="Yes",4&lt;='Summary &amp; Assumptions'!$C$23,'Summary &amp; Assumptions'!$D$34&gt;0),IF(4&lt;='Summary &amp; Assumptions'!$D$47,0,IF('Summary &amp; Assumptions'!$D$40=0,'Summary &amp; Assumptions'!$D$34*MAX(0,MIN((4-'Summary &amp; Assumptions'!$D$47)*12,'Summary &amp; Assumptions'!$D$48*12)-(4-'Summary &amp; Assumptions'!$D$47-1)*12)/('Summary &amp; Assumptions'!$D$48*12),-CUMPRINC('Summary &amp; Assumptions'!$D$40/12,'Summary &amp; Assumptions'!$D$48*12,'Summary &amp; Assumptions'!$D$34,MAX(1,(4-'Summary &amp; Assumptions'!$D$47-1)*12+1),MIN((4-'Summary &amp; Assumptions'!$D$47)*12,'Summary &amp; Assumptions'!$D$48*12),0))),0),0)</f>
        <v/>
      </c>
      <c r="J33" s="53">
        <f>IFERROR(IF(AND('Summary &amp; Assumptions'!$D$31="Yes",5&lt;='Summary &amp; Assumptions'!$C$23,'Summary &amp; Assumptions'!$D$34&gt;0),IF(5&lt;='Summary &amp; Assumptions'!$D$47,0,IF('Summary &amp; Assumptions'!$D$40=0,'Summary &amp; Assumptions'!$D$34*MAX(0,MIN((5-'Summary &amp; Assumptions'!$D$47)*12,'Summary &amp; Assumptions'!$D$48*12)-(5-'Summary &amp; Assumptions'!$D$47-1)*12)/('Summary &amp; Assumptions'!$D$48*12),-CUMPRINC('Summary &amp; Assumptions'!$D$40/12,'Summary &amp; Assumptions'!$D$48*12,'Summary &amp; Assumptions'!$D$34,MAX(1,(5-'Summary &amp; Assumptions'!$D$47-1)*12+1),MIN((5-'Summary &amp; Assumptions'!$D$47)*12,'Summary &amp; Assumptions'!$D$48*12),0))),0),0)</f>
        <v/>
      </c>
      <c r="K33" s="53">
        <f>IFERROR(IF(AND('Summary &amp; Assumptions'!$D$31="Yes",6&lt;='Summary &amp; Assumptions'!$C$23,'Summary &amp; Assumptions'!$D$34&gt;0),IF(6&lt;='Summary &amp; Assumptions'!$D$47,0,IF('Summary &amp; Assumptions'!$D$40=0,'Summary &amp; Assumptions'!$D$34*MAX(0,MIN((6-'Summary &amp; Assumptions'!$D$47)*12,'Summary &amp; Assumptions'!$D$48*12)-(6-'Summary &amp; Assumptions'!$D$47-1)*12)/('Summary &amp; Assumptions'!$D$48*12),-CUMPRINC('Summary &amp; Assumptions'!$D$40/12,'Summary &amp; Assumptions'!$D$48*12,'Summary &amp; Assumptions'!$D$34,MAX(1,(6-'Summary &amp; Assumptions'!$D$47-1)*12+1),MIN((6-'Summary &amp; Assumptions'!$D$47)*12,'Summary &amp; Assumptions'!$D$48*12),0))),0),0)</f>
        <v/>
      </c>
      <c r="L33" s="53">
        <f>IFERROR(IF(AND('Summary &amp; Assumptions'!$D$31="Yes",7&lt;='Summary &amp; Assumptions'!$C$23,'Summary &amp; Assumptions'!$D$34&gt;0),IF(7&lt;='Summary &amp; Assumptions'!$D$47,0,IF('Summary &amp; Assumptions'!$D$40=0,'Summary &amp; Assumptions'!$D$34*MAX(0,MIN((7-'Summary &amp; Assumptions'!$D$47)*12,'Summary &amp; Assumptions'!$D$48*12)-(7-'Summary &amp; Assumptions'!$D$47-1)*12)/('Summary &amp; Assumptions'!$D$48*12),-CUMPRINC('Summary &amp; Assumptions'!$D$40/12,'Summary &amp; Assumptions'!$D$48*12,'Summary &amp; Assumptions'!$D$34,MAX(1,(7-'Summary &amp; Assumptions'!$D$47-1)*12+1),MIN((7-'Summary &amp; Assumptions'!$D$47)*12,'Summary &amp; Assumptions'!$D$48*12),0))),0),0)</f>
        <v/>
      </c>
      <c r="M33" s="53">
        <f>IFERROR(IF(AND('Summary &amp; Assumptions'!$D$31="Yes",8&lt;='Summary &amp; Assumptions'!$C$23,'Summary &amp; Assumptions'!$D$34&gt;0),IF(8&lt;='Summary &amp; Assumptions'!$D$47,0,IF('Summary &amp; Assumptions'!$D$40=0,'Summary &amp; Assumptions'!$D$34*MAX(0,MIN((8-'Summary &amp; Assumptions'!$D$47)*12,'Summary &amp; Assumptions'!$D$48*12)-(8-'Summary &amp; Assumptions'!$D$47-1)*12)/('Summary &amp; Assumptions'!$D$48*12),-CUMPRINC('Summary &amp; Assumptions'!$D$40/12,'Summary &amp; Assumptions'!$D$48*12,'Summary &amp; Assumptions'!$D$34,MAX(1,(8-'Summary &amp; Assumptions'!$D$47-1)*12+1),MIN((8-'Summary &amp; Assumptions'!$D$47)*12,'Summary &amp; Assumptions'!$D$48*12),0))),0),0)</f>
        <v/>
      </c>
      <c r="N33" s="53">
        <f>IFERROR(IF(AND('Summary &amp; Assumptions'!$D$31="Yes",9&lt;='Summary &amp; Assumptions'!$C$23,'Summary &amp; Assumptions'!$D$34&gt;0),IF(9&lt;='Summary &amp; Assumptions'!$D$47,0,IF('Summary &amp; Assumptions'!$D$40=0,'Summary &amp; Assumptions'!$D$34*MAX(0,MIN((9-'Summary &amp; Assumptions'!$D$47)*12,'Summary &amp; Assumptions'!$D$48*12)-(9-'Summary &amp; Assumptions'!$D$47-1)*12)/('Summary &amp; Assumptions'!$D$48*12),-CUMPRINC('Summary &amp; Assumptions'!$D$40/12,'Summary &amp; Assumptions'!$D$48*12,'Summary &amp; Assumptions'!$D$34,MAX(1,(9-'Summary &amp; Assumptions'!$D$47-1)*12+1),MIN((9-'Summary &amp; Assumptions'!$D$47)*12,'Summary &amp; Assumptions'!$D$48*12),0))),0),0)</f>
        <v/>
      </c>
      <c r="O33" s="53">
        <f>IFERROR(IF(AND('Summary &amp; Assumptions'!$D$31="Yes",10&lt;='Summary &amp; Assumptions'!$C$23,'Summary &amp; Assumptions'!$D$34&gt;0),IF(10&lt;='Summary &amp; Assumptions'!$D$47,0,IF('Summary &amp; Assumptions'!$D$40=0,'Summary &amp; Assumptions'!$D$34*MAX(0,MIN((10-'Summary &amp; Assumptions'!$D$47)*12,'Summary &amp; Assumptions'!$D$48*12)-(10-'Summary &amp; Assumptions'!$D$47-1)*12)/('Summary &amp; Assumptions'!$D$48*12),-CUMPRINC('Summary &amp; Assumptions'!$D$40/12,'Summary &amp; Assumptions'!$D$48*12,'Summary &amp; Assumptions'!$D$34,MAX(1,(10-'Summary &amp; Assumptions'!$D$47-1)*12+1),MIN((10-'Summary &amp; Assumptions'!$D$47)*12,'Summary &amp; Assumptions'!$D$48*12),0))),0),0)</f>
        <v/>
      </c>
      <c r="P33" s="53">
        <f>IFERROR(IF(AND('Summary &amp; Assumptions'!$D$31="Yes",11&lt;='Summary &amp; Assumptions'!$C$23,'Summary &amp; Assumptions'!$D$34&gt;0),IF(11&lt;='Summary &amp; Assumptions'!$D$47,0,IF('Summary &amp; Assumptions'!$D$40=0,'Summary &amp; Assumptions'!$D$34*MAX(0,MIN((11-'Summary &amp; Assumptions'!$D$47)*12,'Summary &amp; Assumptions'!$D$48*12)-(11-'Summary &amp; Assumptions'!$D$47-1)*12)/('Summary &amp; Assumptions'!$D$48*12),-CUMPRINC('Summary &amp; Assumptions'!$D$40/12,'Summary &amp; Assumptions'!$D$48*12,'Summary &amp; Assumptions'!$D$34,MAX(1,(11-'Summary &amp; Assumptions'!$D$47-1)*12+1),MIN((11-'Summary &amp; Assumptions'!$D$47)*12,'Summary &amp; Assumptions'!$D$48*12),0))),0),0)</f>
        <v/>
      </c>
      <c r="Q33" s="53">
        <f>IFERROR(IF(AND('Summary &amp; Assumptions'!$D$31="Yes",12&lt;='Summary &amp; Assumptions'!$C$23,'Summary &amp; Assumptions'!$D$34&gt;0),IF(12&lt;='Summary &amp; Assumptions'!$D$47,0,IF('Summary &amp; Assumptions'!$D$40=0,'Summary &amp; Assumptions'!$D$34*MAX(0,MIN((12-'Summary &amp; Assumptions'!$D$47)*12,'Summary &amp; Assumptions'!$D$48*12)-(12-'Summary &amp; Assumptions'!$D$47-1)*12)/('Summary &amp; Assumptions'!$D$48*12),-CUMPRINC('Summary &amp; Assumptions'!$D$40/12,'Summary &amp; Assumptions'!$D$48*12,'Summary &amp; Assumptions'!$D$34,MAX(1,(12-'Summary &amp; Assumptions'!$D$47-1)*12+1),MIN((12-'Summary &amp; Assumptions'!$D$47)*12,'Summary &amp; Assumptions'!$D$48*12),0))),0),0)</f>
        <v/>
      </c>
      <c r="R33" s="53">
        <f>IFERROR(IF(AND('Summary &amp; Assumptions'!$D$31="Yes",13&lt;='Summary &amp; Assumptions'!$C$23,'Summary &amp; Assumptions'!$D$34&gt;0),IF(13&lt;='Summary &amp; Assumptions'!$D$47,0,IF('Summary &amp; Assumptions'!$D$40=0,'Summary &amp; Assumptions'!$D$34*MAX(0,MIN((13-'Summary &amp; Assumptions'!$D$47)*12,'Summary &amp; Assumptions'!$D$48*12)-(13-'Summary &amp; Assumptions'!$D$47-1)*12)/('Summary &amp; Assumptions'!$D$48*12),-CUMPRINC('Summary &amp; Assumptions'!$D$40/12,'Summary &amp; Assumptions'!$D$48*12,'Summary &amp; Assumptions'!$D$34,MAX(1,(13-'Summary &amp; Assumptions'!$D$47-1)*12+1),MIN((13-'Summary &amp; Assumptions'!$D$47)*12,'Summary &amp; Assumptions'!$D$48*12),0))),0),0)</f>
        <v/>
      </c>
      <c r="S33" s="53">
        <f>IFERROR(IF(AND('Summary &amp; Assumptions'!$D$31="Yes",14&lt;='Summary &amp; Assumptions'!$C$23,'Summary &amp; Assumptions'!$D$34&gt;0),IF(14&lt;='Summary &amp; Assumptions'!$D$47,0,IF('Summary &amp; Assumptions'!$D$40=0,'Summary &amp; Assumptions'!$D$34*MAX(0,MIN((14-'Summary &amp; Assumptions'!$D$47)*12,'Summary &amp; Assumptions'!$D$48*12)-(14-'Summary &amp; Assumptions'!$D$47-1)*12)/('Summary &amp; Assumptions'!$D$48*12),-CUMPRINC('Summary &amp; Assumptions'!$D$40/12,'Summary &amp; Assumptions'!$D$48*12,'Summary &amp; Assumptions'!$D$34,MAX(1,(14-'Summary &amp; Assumptions'!$D$47-1)*12+1),MIN((14-'Summary &amp; Assumptions'!$D$47)*12,'Summary &amp; Assumptions'!$D$48*12),0))),0),0)</f>
        <v/>
      </c>
      <c r="T33" s="53">
        <f>IFERROR(IF(AND('Summary &amp; Assumptions'!$D$31="Yes",15&lt;='Summary &amp; Assumptions'!$C$23,'Summary &amp; Assumptions'!$D$34&gt;0),IF(15&lt;='Summary &amp; Assumptions'!$D$47,0,IF('Summary &amp; Assumptions'!$D$40=0,'Summary &amp; Assumptions'!$D$34*MAX(0,MIN((15-'Summary &amp; Assumptions'!$D$47)*12,'Summary &amp; Assumptions'!$D$48*12)-(15-'Summary &amp; Assumptions'!$D$47-1)*12)/('Summary &amp; Assumptions'!$D$48*12),-CUMPRINC('Summary &amp; Assumptions'!$D$40/12,'Summary &amp; Assumptions'!$D$48*12,'Summary &amp; Assumptions'!$D$34,MAX(1,(15-'Summary &amp; Assumptions'!$D$47-1)*12+1),MIN((15-'Summary &amp; Assumptions'!$D$47)*12,'Summary &amp; Assumptions'!$D$48*12),0))),0),0)</f>
        <v/>
      </c>
      <c r="U33" s="1" t="n"/>
      <c r="V33" s="1" t="n"/>
    </row>
    <row r="34" hidden="1" outlineLevel="1">
      <c r="A34" s="1" t="n"/>
      <c r="B34" s="3" t="inlineStr">
        <is>
          <t xml:space="preserve">    Refi</t>
        </is>
      </c>
      <c r="C34" s="1" t="n"/>
      <c r="D34" s="1" t="n"/>
      <c r="E34" s="1" t="n"/>
      <c r="F34" s="53">
        <f>IFERROR(IF(AND('Summary &amp; Assumptions'!$E$31="Yes",1&lt;='Summary &amp; Assumptions'!$C$23,'Summary &amp; Assumptions'!$E$34&gt;0),IF(1&lt;='Summary &amp; Assumptions'!$E$47,0,IF('Summary &amp; Assumptions'!$E$40=0,'Summary &amp; Assumptions'!$E$34*MAX(0,MIN((1-'Summary &amp; Assumptions'!$E$47)*12,'Summary &amp; Assumptions'!$E$48*12)-(1-'Summary &amp; Assumptions'!$E$47-1)*12)/('Summary &amp; Assumptions'!$E$48*12),-CUMPRINC('Summary &amp; Assumptions'!$E$40/12,'Summary &amp; Assumptions'!$E$48*12,'Summary &amp; Assumptions'!$E$34,MAX(1,(1-'Summary &amp; Assumptions'!$E$47-1)*12+1),MIN((1-'Summary &amp; Assumptions'!$E$47)*12,'Summary &amp; Assumptions'!$E$48*12),0))),0),0)</f>
        <v/>
      </c>
      <c r="G34" s="53">
        <f>IFERROR(IF(AND('Summary &amp; Assumptions'!$E$31="Yes",2&lt;='Summary &amp; Assumptions'!$C$23,'Summary &amp; Assumptions'!$E$34&gt;0),IF(2&lt;='Summary &amp; Assumptions'!$E$47,0,IF('Summary &amp; Assumptions'!$E$40=0,'Summary &amp; Assumptions'!$E$34*MAX(0,MIN((2-'Summary &amp; Assumptions'!$E$47)*12,'Summary &amp; Assumptions'!$E$48*12)-(2-'Summary &amp; Assumptions'!$E$47-1)*12)/('Summary &amp; Assumptions'!$E$48*12),-CUMPRINC('Summary &amp; Assumptions'!$E$40/12,'Summary &amp; Assumptions'!$E$48*12,'Summary &amp; Assumptions'!$E$34,MAX(1,(2-'Summary &amp; Assumptions'!$E$47-1)*12+1),MIN((2-'Summary &amp; Assumptions'!$E$47)*12,'Summary &amp; Assumptions'!$E$48*12),0))),0),0)</f>
        <v/>
      </c>
      <c r="H34" s="53">
        <f>IFERROR(IF(AND('Summary &amp; Assumptions'!$E$31="Yes",3&lt;='Summary &amp; Assumptions'!$C$23,'Summary &amp; Assumptions'!$E$34&gt;0),IF(3&lt;='Summary &amp; Assumptions'!$E$47,0,IF('Summary &amp; Assumptions'!$E$40=0,'Summary &amp; Assumptions'!$E$34*MAX(0,MIN((3-'Summary &amp; Assumptions'!$E$47)*12,'Summary &amp; Assumptions'!$E$48*12)-(3-'Summary &amp; Assumptions'!$E$47-1)*12)/('Summary &amp; Assumptions'!$E$48*12),-CUMPRINC('Summary &amp; Assumptions'!$E$40/12,'Summary &amp; Assumptions'!$E$48*12,'Summary &amp; Assumptions'!$E$34,MAX(1,(3-'Summary &amp; Assumptions'!$E$47-1)*12+1),MIN((3-'Summary &amp; Assumptions'!$E$47)*12,'Summary &amp; Assumptions'!$E$48*12),0))),0),0)</f>
        <v/>
      </c>
      <c r="I34" s="53">
        <f>IFERROR(IF(AND('Summary &amp; Assumptions'!$E$31="Yes",4&lt;='Summary &amp; Assumptions'!$C$23,'Summary &amp; Assumptions'!$E$34&gt;0),IF(4&lt;='Summary &amp; Assumptions'!$E$47,0,IF('Summary &amp; Assumptions'!$E$40=0,'Summary &amp; Assumptions'!$E$34*MAX(0,MIN((4-'Summary &amp; Assumptions'!$E$47)*12,'Summary &amp; Assumptions'!$E$48*12)-(4-'Summary &amp; Assumptions'!$E$47-1)*12)/('Summary &amp; Assumptions'!$E$48*12),-CUMPRINC('Summary &amp; Assumptions'!$E$40/12,'Summary &amp; Assumptions'!$E$48*12,'Summary &amp; Assumptions'!$E$34,MAX(1,(4-'Summary &amp; Assumptions'!$E$47-1)*12+1),MIN((4-'Summary &amp; Assumptions'!$E$47)*12,'Summary &amp; Assumptions'!$E$48*12),0))),0),0)</f>
        <v/>
      </c>
      <c r="J34" s="53">
        <f>IFERROR(IF(AND('Summary &amp; Assumptions'!$E$31="Yes",5&lt;='Summary &amp; Assumptions'!$C$23,'Summary &amp; Assumptions'!$E$34&gt;0),IF(5&lt;='Summary &amp; Assumptions'!$E$47,0,IF('Summary &amp; Assumptions'!$E$40=0,'Summary &amp; Assumptions'!$E$34*MAX(0,MIN((5-'Summary &amp; Assumptions'!$E$47)*12,'Summary &amp; Assumptions'!$E$48*12)-(5-'Summary &amp; Assumptions'!$E$47-1)*12)/('Summary &amp; Assumptions'!$E$48*12),-CUMPRINC('Summary &amp; Assumptions'!$E$40/12,'Summary &amp; Assumptions'!$E$48*12,'Summary &amp; Assumptions'!$E$34,MAX(1,(5-'Summary &amp; Assumptions'!$E$47-1)*12+1),MIN((5-'Summary &amp; Assumptions'!$E$47)*12,'Summary &amp; Assumptions'!$E$48*12),0))),0),0)</f>
        <v/>
      </c>
      <c r="K34" s="53">
        <f>IFERROR(IF(AND('Summary &amp; Assumptions'!$E$31="Yes",6&lt;='Summary &amp; Assumptions'!$C$23,'Summary &amp; Assumptions'!$E$34&gt;0),IF(6&lt;='Summary &amp; Assumptions'!$E$47,0,IF('Summary &amp; Assumptions'!$E$40=0,'Summary &amp; Assumptions'!$E$34*MAX(0,MIN((6-'Summary &amp; Assumptions'!$E$47)*12,'Summary &amp; Assumptions'!$E$48*12)-(6-'Summary &amp; Assumptions'!$E$47-1)*12)/('Summary &amp; Assumptions'!$E$48*12),-CUMPRINC('Summary &amp; Assumptions'!$E$40/12,'Summary &amp; Assumptions'!$E$48*12,'Summary &amp; Assumptions'!$E$34,MAX(1,(6-'Summary &amp; Assumptions'!$E$47-1)*12+1),MIN((6-'Summary &amp; Assumptions'!$E$47)*12,'Summary &amp; Assumptions'!$E$48*12),0))),0),0)</f>
        <v/>
      </c>
      <c r="L34" s="53">
        <f>IFERROR(IF(AND('Summary &amp; Assumptions'!$E$31="Yes",7&lt;='Summary &amp; Assumptions'!$C$23,'Summary &amp; Assumptions'!$E$34&gt;0),IF(7&lt;='Summary &amp; Assumptions'!$E$47,0,IF('Summary &amp; Assumptions'!$E$40=0,'Summary &amp; Assumptions'!$E$34*MAX(0,MIN((7-'Summary &amp; Assumptions'!$E$47)*12,'Summary &amp; Assumptions'!$E$48*12)-(7-'Summary &amp; Assumptions'!$E$47-1)*12)/('Summary &amp; Assumptions'!$E$48*12),-CUMPRINC('Summary &amp; Assumptions'!$E$40/12,'Summary &amp; Assumptions'!$E$48*12,'Summary &amp; Assumptions'!$E$34,MAX(1,(7-'Summary &amp; Assumptions'!$E$47-1)*12+1),MIN((7-'Summary &amp; Assumptions'!$E$47)*12,'Summary &amp; Assumptions'!$E$48*12),0))),0),0)</f>
        <v/>
      </c>
      <c r="M34" s="53">
        <f>IFERROR(IF(AND('Summary &amp; Assumptions'!$E$31="Yes",8&lt;='Summary &amp; Assumptions'!$C$23,'Summary &amp; Assumptions'!$E$34&gt;0),IF(8&lt;='Summary &amp; Assumptions'!$E$47,0,IF('Summary &amp; Assumptions'!$E$40=0,'Summary &amp; Assumptions'!$E$34*MAX(0,MIN((8-'Summary &amp; Assumptions'!$E$47)*12,'Summary &amp; Assumptions'!$E$48*12)-(8-'Summary &amp; Assumptions'!$E$47-1)*12)/('Summary &amp; Assumptions'!$E$48*12),-CUMPRINC('Summary &amp; Assumptions'!$E$40/12,'Summary &amp; Assumptions'!$E$48*12,'Summary &amp; Assumptions'!$E$34,MAX(1,(8-'Summary &amp; Assumptions'!$E$47-1)*12+1),MIN((8-'Summary &amp; Assumptions'!$E$47)*12,'Summary &amp; Assumptions'!$E$48*12),0))),0),0)</f>
        <v/>
      </c>
      <c r="N34" s="53">
        <f>IFERROR(IF(AND('Summary &amp; Assumptions'!$E$31="Yes",9&lt;='Summary &amp; Assumptions'!$C$23,'Summary &amp; Assumptions'!$E$34&gt;0),IF(9&lt;='Summary &amp; Assumptions'!$E$47,0,IF('Summary &amp; Assumptions'!$E$40=0,'Summary &amp; Assumptions'!$E$34*MAX(0,MIN((9-'Summary &amp; Assumptions'!$E$47)*12,'Summary &amp; Assumptions'!$E$48*12)-(9-'Summary &amp; Assumptions'!$E$47-1)*12)/('Summary &amp; Assumptions'!$E$48*12),-CUMPRINC('Summary &amp; Assumptions'!$E$40/12,'Summary &amp; Assumptions'!$E$48*12,'Summary &amp; Assumptions'!$E$34,MAX(1,(9-'Summary &amp; Assumptions'!$E$47-1)*12+1),MIN((9-'Summary &amp; Assumptions'!$E$47)*12,'Summary &amp; Assumptions'!$E$48*12),0))),0),0)</f>
        <v/>
      </c>
      <c r="O34" s="53">
        <f>IFERROR(IF(AND('Summary &amp; Assumptions'!$E$31="Yes",10&lt;='Summary &amp; Assumptions'!$C$23,'Summary &amp; Assumptions'!$E$34&gt;0),IF(10&lt;='Summary &amp; Assumptions'!$E$47,0,IF('Summary &amp; Assumptions'!$E$40=0,'Summary &amp; Assumptions'!$E$34*MAX(0,MIN((10-'Summary &amp; Assumptions'!$E$47)*12,'Summary &amp; Assumptions'!$E$48*12)-(10-'Summary &amp; Assumptions'!$E$47-1)*12)/('Summary &amp; Assumptions'!$E$48*12),-CUMPRINC('Summary &amp; Assumptions'!$E$40/12,'Summary &amp; Assumptions'!$E$48*12,'Summary &amp; Assumptions'!$E$34,MAX(1,(10-'Summary &amp; Assumptions'!$E$47-1)*12+1),MIN((10-'Summary &amp; Assumptions'!$E$47)*12,'Summary &amp; Assumptions'!$E$48*12),0))),0),0)</f>
        <v/>
      </c>
      <c r="P34" s="53">
        <f>IFERROR(IF(AND('Summary &amp; Assumptions'!$E$31="Yes",11&lt;='Summary &amp; Assumptions'!$C$23,'Summary &amp; Assumptions'!$E$34&gt;0),IF(11&lt;='Summary &amp; Assumptions'!$E$47,0,IF('Summary &amp; Assumptions'!$E$40=0,'Summary &amp; Assumptions'!$E$34*MAX(0,MIN((11-'Summary &amp; Assumptions'!$E$47)*12,'Summary &amp; Assumptions'!$E$48*12)-(11-'Summary &amp; Assumptions'!$E$47-1)*12)/('Summary &amp; Assumptions'!$E$48*12),-CUMPRINC('Summary &amp; Assumptions'!$E$40/12,'Summary &amp; Assumptions'!$E$48*12,'Summary &amp; Assumptions'!$E$34,MAX(1,(11-'Summary &amp; Assumptions'!$E$47-1)*12+1),MIN((11-'Summary &amp; Assumptions'!$E$47)*12,'Summary &amp; Assumptions'!$E$48*12),0))),0),0)</f>
        <v/>
      </c>
      <c r="Q34" s="53">
        <f>IFERROR(IF(AND('Summary &amp; Assumptions'!$E$31="Yes",12&lt;='Summary &amp; Assumptions'!$C$23,'Summary &amp; Assumptions'!$E$34&gt;0),IF(12&lt;='Summary &amp; Assumptions'!$E$47,0,IF('Summary &amp; Assumptions'!$E$40=0,'Summary &amp; Assumptions'!$E$34*MAX(0,MIN((12-'Summary &amp; Assumptions'!$E$47)*12,'Summary &amp; Assumptions'!$E$48*12)-(12-'Summary &amp; Assumptions'!$E$47-1)*12)/('Summary &amp; Assumptions'!$E$48*12),-CUMPRINC('Summary &amp; Assumptions'!$E$40/12,'Summary &amp; Assumptions'!$E$48*12,'Summary &amp; Assumptions'!$E$34,MAX(1,(12-'Summary &amp; Assumptions'!$E$47-1)*12+1),MIN((12-'Summary &amp; Assumptions'!$E$47)*12,'Summary &amp; Assumptions'!$E$48*12),0))),0),0)</f>
        <v/>
      </c>
      <c r="R34" s="53">
        <f>IFERROR(IF(AND('Summary &amp; Assumptions'!$E$31="Yes",13&lt;='Summary &amp; Assumptions'!$C$23,'Summary &amp; Assumptions'!$E$34&gt;0),IF(13&lt;='Summary &amp; Assumptions'!$E$47,0,IF('Summary &amp; Assumptions'!$E$40=0,'Summary &amp; Assumptions'!$E$34*MAX(0,MIN((13-'Summary &amp; Assumptions'!$E$47)*12,'Summary &amp; Assumptions'!$E$48*12)-(13-'Summary &amp; Assumptions'!$E$47-1)*12)/('Summary &amp; Assumptions'!$E$48*12),-CUMPRINC('Summary &amp; Assumptions'!$E$40/12,'Summary &amp; Assumptions'!$E$48*12,'Summary &amp; Assumptions'!$E$34,MAX(1,(13-'Summary &amp; Assumptions'!$E$47-1)*12+1),MIN((13-'Summary &amp; Assumptions'!$E$47)*12,'Summary &amp; Assumptions'!$E$48*12),0))),0),0)</f>
        <v/>
      </c>
      <c r="S34" s="53">
        <f>IFERROR(IF(AND('Summary &amp; Assumptions'!$E$31="Yes",14&lt;='Summary &amp; Assumptions'!$C$23,'Summary &amp; Assumptions'!$E$34&gt;0),IF(14&lt;='Summary &amp; Assumptions'!$E$47,0,IF('Summary &amp; Assumptions'!$E$40=0,'Summary &amp; Assumptions'!$E$34*MAX(0,MIN((14-'Summary &amp; Assumptions'!$E$47)*12,'Summary &amp; Assumptions'!$E$48*12)-(14-'Summary &amp; Assumptions'!$E$47-1)*12)/('Summary &amp; Assumptions'!$E$48*12),-CUMPRINC('Summary &amp; Assumptions'!$E$40/12,'Summary &amp; Assumptions'!$E$48*12,'Summary &amp; Assumptions'!$E$34,MAX(1,(14-'Summary &amp; Assumptions'!$E$47-1)*12+1),MIN((14-'Summary &amp; Assumptions'!$E$47)*12,'Summary &amp; Assumptions'!$E$48*12),0))),0),0)</f>
        <v/>
      </c>
      <c r="T34" s="53">
        <f>IFERROR(IF(AND('Summary &amp; Assumptions'!$E$31="Yes",15&lt;='Summary &amp; Assumptions'!$C$23,'Summary &amp; Assumptions'!$E$34&gt;0),IF(15&lt;='Summary &amp; Assumptions'!$E$47,0,IF('Summary &amp; Assumptions'!$E$40=0,'Summary &amp; Assumptions'!$E$34*MAX(0,MIN((15-'Summary &amp; Assumptions'!$E$47)*12,'Summary &amp; Assumptions'!$E$48*12)-(15-'Summary &amp; Assumptions'!$E$47-1)*12)/('Summary &amp; Assumptions'!$E$48*12),-CUMPRINC('Summary &amp; Assumptions'!$E$40/12,'Summary &amp; Assumptions'!$E$48*12,'Summary &amp; Assumptions'!$E$34,MAX(1,(15-'Summary &amp; Assumptions'!$E$47-1)*12+1),MIN((15-'Summary &amp; Assumptions'!$E$47)*12,'Summary &amp; Assumptions'!$E$48*12),0))),0),0)</f>
        <v/>
      </c>
      <c r="U34" s="1" t="n"/>
      <c r="V34" s="1" t="n"/>
    </row>
    <row r="35" hidden="1" outlineLevel="1">
      <c r="A35" s="1" t="n"/>
      <c r="B35" s="3" t="inlineStr">
        <is>
          <t xml:space="preserve">    Assumed Loan</t>
        </is>
      </c>
      <c r="C35" s="1" t="n"/>
      <c r="D35" s="1" t="n"/>
      <c r="E35" s="1" t="n"/>
      <c r="F35" s="53">
        <f>IFERROR(IF(AND('Summary &amp; Assumptions'!$F$31="Yes",1&lt;='Summary &amp; Assumptions'!$C$23,'Summary &amp; Assumptions'!$F$34&gt;0),IF(1&lt;='Summary &amp; Assumptions'!$F$47,0,IF('Summary &amp; Assumptions'!$F$40=0,'Summary &amp; Assumptions'!$F$34*MAX(0,MIN((1-'Summary &amp; Assumptions'!$F$47)*12,'Summary &amp; Assumptions'!$F$48*12)-(1-'Summary &amp; Assumptions'!$F$47-1)*12)/('Summary &amp; Assumptions'!$F$48*12),-CUMPRINC('Summary &amp; Assumptions'!$F$40/12,'Summary &amp; Assumptions'!$F$48*12,'Summary &amp; Assumptions'!$F$34,MAX(1,(1-'Summary &amp; Assumptions'!$F$47-1)*12+1),MIN((1-'Summary &amp; Assumptions'!$F$47)*12,'Summary &amp; Assumptions'!$F$48*12),0))),0),0)</f>
        <v/>
      </c>
      <c r="G35" s="53">
        <f>IFERROR(IF(AND('Summary &amp; Assumptions'!$F$31="Yes",2&lt;='Summary &amp; Assumptions'!$C$23,'Summary &amp; Assumptions'!$F$34&gt;0),IF(2&lt;='Summary &amp; Assumptions'!$F$47,0,IF('Summary &amp; Assumptions'!$F$40=0,'Summary &amp; Assumptions'!$F$34*MAX(0,MIN((2-'Summary &amp; Assumptions'!$F$47)*12,'Summary &amp; Assumptions'!$F$48*12)-(2-'Summary &amp; Assumptions'!$F$47-1)*12)/('Summary &amp; Assumptions'!$F$48*12),-CUMPRINC('Summary &amp; Assumptions'!$F$40/12,'Summary &amp; Assumptions'!$F$48*12,'Summary &amp; Assumptions'!$F$34,MAX(1,(2-'Summary &amp; Assumptions'!$F$47-1)*12+1),MIN((2-'Summary &amp; Assumptions'!$F$47)*12,'Summary &amp; Assumptions'!$F$48*12),0))),0),0)</f>
        <v/>
      </c>
      <c r="H35" s="53">
        <f>IFERROR(IF(AND('Summary &amp; Assumptions'!$F$31="Yes",3&lt;='Summary &amp; Assumptions'!$C$23,'Summary &amp; Assumptions'!$F$34&gt;0),IF(3&lt;='Summary &amp; Assumptions'!$F$47,0,IF('Summary &amp; Assumptions'!$F$40=0,'Summary &amp; Assumptions'!$F$34*MAX(0,MIN((3-'Summary &amp; Assumptions'!$F$47)*12,'Summary &amp; Assumptions'!$F$48*12)-(3-'Summary &amp; Assumptions'!$F$47-1)*12)/('Summary &amp; Assumptions'!$F$48*12),-CUMPRINC('Summary &amp; Assumptions'!$F$40/12,'Summary &amp; Assumptions'!$F$48*12,'Summary &amp; Assumptions'!$F$34,MAX(1,(3-'Summary &amp; Assumptions'!$F$47-1)*12+1),MIN((3-'Summary &amp; Assumptions'!$F$47)*12,'Summary &amp; Assumptions'!$F$48*12),0))),0),0)</f>
        <v/>
      </c>
      <c r="I35" s="53">
        <f>IFERROR(IF(AND('Summary &amp; Assumptions'!$F$31="Yes",4&lt;='Summary &amp; Assumptions'!$C$23,'Summary &amp; Assumptions'!$F$34&gt;0),IF(4&lt;='Summary &amp; Assumptions'!$F$47,0,IF('Summary &amp; Assumptions'!$F$40=0,'Summary &amp; Assumptions'!$F$34*MAX(0,MIN((4-'Summary &amp; Assumptions'!$F$47)*12,'Summary &amp; Assumptions'!$F$48*12)-(4-'Summary &amp; Assumptions'!$F$47-1)*12)/('Summary &amp; Assumptions'!$F$48*12),-CUMPRINC('Summary &amp; Assumptions'!$F$40/12,'Summary &amp; Assumptions'!$F$48*12,'Summary &amp; Assumptions'!$F$34,MAX(1,(4-'Summary &amp; Assumptions'!$F$47-1)*12+1),MIN((4-'Summary &amp; Assumptions'!$F$47)*12,'Summary &amp; Assumptions'!$F$48*12),0))),0),0)</f>
        <v/>
      </c>
      <c r="J35" s="53">
        <f>IFERROR(IF(AND('Summary &amp; Assumptions'!$F$31="Yes",5&lt;='Summary &amp; Assumptions'!$C$23,'Summary &amp; Assumptions'!$F$34&gt;0),IF(5&lt;='Summary &amp; Assumptions'!$F$47,0,IF('Summary &amp; Assumptions'!$F$40=0,'Summary &amp; Assumptions'!$F$34*MAX(0,MIN((5-'Summary &amp; Assumptions'!$F$47)*12,'Summary &amp; Assumptions'!$F$48*12)-(5-'Summary &amp; Assumptions'!$F$47-1)*12)/('Summary &amp; Assumptions'!$F$48*12),-CUMPRINC('Summary &amp; Assumptions'!$F$40/12,'Summary &amp; Assumptions'!$F$48*12,'Summary &amp; Assumptions'!$F$34,MAX(1,(5-'Summary &amp; Assumptions'!$F$47-1)*12+1),MIN((5-'Summary &amp; Assumptions'!$F$47)*12,'Summary &amp; Assumptions'!$F$48*12),0))),0),0)</f>
        <v/>
      </c>
      <c r="K35" s="53">
        <f>IFERROR(IF(AND('Summary &amp; Assumptions'!$F$31="Yes",6&lt;='Summary &amp; Assumptions'!$C$23,'Summary &amp; Assumptions'!$F$34&gt;0),IF(6&lt;='Summary &amp; Assumptions'!$F$47,0,IF('Summary &amp; Assumptions'!$F$40=0,'Summary &amp; Assumptions'!$F$34*MAX(0,MIN((6-'Summary &amp; Assumptions'!$F$47)*12,'Summary &amp; Assumptions'!$F$48*12)-(6-'Summary &amp; Assumptions'!$F$47-1)*12)/('Summary &amp; Assumptions'!$F$48*12),-CUMPRINC('Summary &amp; Assumptions'!$F$40/12,'Summary &amp; Assumptions'!$F$48*12,'Summary &amp; Assumptions'!$F$34,MAX(1,(6-'Summary &amp; Assumptions'!$F$47-1)*12+1),MIN((6-'Summary &amp; Assumptions'!$F$47)*12,'Summary &amp; Assumptions'!$F$48*12),0))),0),0)</f>
        <v/>
      </c>
      <c r="L35" s="53">
        <f>IFERROR(IF(AND('Summary &amp; Assumptions'!$F$31="Yes",7&lt;='Summary &amp; Assumptions'!$C$23,'Summary &amp; Assumptions'!$F$34&gt;0),IF(7&lt;='Summary &amp; Assumptions'!$F$47,0,IF('Summary &amp; Assumptions'!$F$40=0,'Summary &amp; Assumptions'!$F$34*MAX(0,MIN((7-'Summary &amp; Assumptions'!$F$47)*12,'Summary &amp; Assumptions'!$F$48*12)-(7-'Summary &amp; Assumptions'!$F$47-1)*12)/('Summary &amp; Assumptions'!$F$48*12),-CUMPRINC('Summary &amp; Assumptions'!$F$40/12,'Summary &amp; Assumptions'!$F$48*12,'Summary &amp; Assumptions'!$F$34,MAX(1,(7-'Summary &amp; Assumptions'!$F$47-1)*12+1),MIN((7-'Summary &amp; Assumptions'!$F$47)*12,'Summary &amp; Assumptions'!$F$48*12),0))),0),0)</f>
        <v/>
      </c>
      <c r="M35" s="53">
        <f>IFERROR(IF(AND('Summary &amp; Assumptions'!$F$31="Yes",8&lt;='Summary &amp; Assumptions'!$C$23,'Summary &amp; Assumptions'!$F$34&gt;0),IF(8&lt;='Summary &amp; Assumptions'!$F$47,0,IF('Summary &amp; Assumptions'!$F$40=0,'Summary &amp; Assumptions'!$F$34*MAX(0,MIN((8-'Summary &amp; Assumptions'!$F$47)*12,'Summary &amp; Assumptions'!$F$48*12)-(8-'Summary &amp; Assumptions'!$F$47-1)*12)/('Summary &amp; Assumptions'!$F$48*12),-CUMPRINC('Summary &amp; Assumptions'!$F$40/12,'Summary &amp; Assumptions'!$F$48*12,'Summary &amp; Assumptions'!$F$34,MAX(1,(8-'Summary &amp; Assumptions'!$F$47-1)*12+1),MIN((8-'Summary &amp; Assumptions'!$F$47)*12,'Summary &amp; Assumptions'!$F$48*12),0))),0),0)</f>
        <v/>
      </c>
      <c r="N35" s="53">
        <f>IFERROR(IF(AND('Summary &amp; Assumptions'!$F$31="Yes",9&lt;='Summary &amp; Assumptions'!$C$23,'Summary &amp; Assumptions'!$F$34&gt;0),IF(9&lt;='Summary &amp; Assumptions'!$F$47,0,IF('Summary &amp; Assumptions'!$F$40=0,'Summary &amp; Assumptions'!$F$34*MAX(0,MIN((9-'Summary &amp; Assumptions'!$F$47)*12,'Summary &amp; Assumptions'!$F$48*12)-(9-'Summary &amp; Assumptions'!$F$47-1)*12)/('Summary &amp; Assumptions'!$F$48*12),-CUMPRINC('Summary &amp; Assumptions'!$F$40/12,'Summary &amp; Assumptions'!$F$48*12,'Summary &amp; Assumptions'!$F$34,MAX(1,(9-'Summary &amp; Assumptions'!$F$47-1)*12+1),MIN((9-'Summary &amp; Assumptions'!$F$47)*12,'Summary &amp; Assumptions'!$F$48*12),0))),0),0)</f>
        <v/>
      </c>
      <c r="O35" s="53">
        <f>IFERROR(IF(AND('Summary &amp; Assumptions'!$F$31="Yes",10&lt;='Summary &amp; Assumptions'!$C$23,'Summary &amp; Assumptions'!$F$34&gt;0),IF(10&lt;='Summary &amp; Assumptions'!$F$47,0,IF('Summary &amp; Assumptions'!$F$40=0,'Summary &amp; Assumptions'!$F$34*MAX(0,MIN((10-'Summary &amp; Assumptions'!$F$47)*12,'Summary &amp; Assumptions'!$F$48*12)-(10-'Summary &amp; Assumptions'!$F$47-1)*12)/('Summary &amp; Assumptions'!$F$48*12),-CUMPRINC('Summary &amp; Assumptions'!$F$40/12,'Summary &amp; Assumptions'!$F$48*12,'Summary &amp; Assumptions'!$F$34,MAX(1,(10-'Summary &amp; Assumptions'!$F$47-1)*12+1),MIN((10-'Summary &amp; Assumptions'!$F$47)*12,'Summary &amp; Assumptions'!$F$48*12),0))),0),0)</f>
        <v/>
      </c>
      <c r="P35" s="53">
        <f>IFERROR(IF(AND('Summary &amp; Assumptions'!$F$31="Yes",11&lt;='Summary &amp; Assumptions'!$C$23,'Summary &amp; Assumptions'!$F$34&gt;0),IF(11&lt;='Summary &amp; Assumptions'!$F$47,0,IF('Summary &amp; Assumptions'!$F$40=0,'Summary &amp; Assumptions'!$F$34*MAX(0,MIN((11-'Summary &amp; Assumptions'!$F$47)*12,'Summary &amp; Assumptions'!$F$48*12)-(11-'Summary &amp; Assumptions'!$F$47-1)*12)/('Summary &amp; Assumptions'!$F$48*12),-CUMPRINC('Summary &amp; Assumptions'!$F$40/12,'Summary &amp; Assumptions'!$F$48*12,'Summary &amp; Assumptions'!$F$34,MAX(1,(11-'Summary &amp; Assumptions'!$F$47-1)*12+1),MIN((11-'Summary &amp; Assumptions'!$F$47)*12,'Summary &amp; Assumptions'!$F$48*12),0))),0),0)</f>
        <v/>
      </c>
      <c r="Q35" s="53">
        <f>IFERROR(IF(AND('Summary &amp; Assumptions'!$F$31="Yes",12&lt;='Summary &amp; Assumptions'!$C$23,'Summary &amp; Assumptions'!$F$34&gt;0),IF(12&lt;='Summary &amp; Assumptions'!$F$47,0,IF('Summary &amp; Assumptions'!$F$40=0,'Summary &amp; Assumptions'!$F$34*MAX(0,MIN((12-'Summary &amp; Assumptions'!$F$47)*12,'Summary &amp; Assumptions'!$F$48*12)-(12-'Summary &amp; Assumptions'!$F$47-1)*12)/('Summary &amp; Assumptions'!$F$48*12),-CUMPRINC('Summary &amp; Assumptions'!$F$40/12,'Summary &amp; Assumptions'!$F$48*12,'Summary &amp; Assumptions'!$F$34,MAX(1,(12-'Summary &amp; Assumptions'!$F$47-1)*12+1),MIN((12-'Summary &amp; Assumptions'!$F$47)*12,'Summary &amp; Assumptions'!$F$48*12),0))),0),0)</f>
        <v/>
      </c>
      <c r="R35" s="53">
        <f>IFERROR(IF(AND('Summary &amp; Assumptions'!$F$31="Yes",13&lt;='Summary &amp; Assumptions'!$C$23,'Summary &amp; Assumptions'!$F$34&gt;0),IF(13&lt;='Summary &amp; Assumptions'!$F$47,0,IF('Summary &amp; Assumptions'!$F$40=0,'Summary &amp; Assumptions'!$F$34*MAX(0,MIN((13-'Summary &amp; Assumptions'!$F$47)*12,'Summary &amp; Assumptions'!$F$48*12)-(13-'Summary &amp; Assumptions'!$F$47-1)*12)/('Summary &amp; Assumptions'!$F$48*12),-CUMPRINC('Summary &amp; Assumptions'!$F$40/12,'Summary &amp; Assumptions'!$F$48*12,'Summary &amp; Assumptions'!$F$34,MAX(1,(13-'Summary &amp; Assumptions'!$F$47-1)*12+1),MIN((13-'Summary &amp; Assumptions'!$F$47)*12,'Summary &amp; Assumptions'!$F$48*12),0))),0),0)</f>
        <v/>
      </c>
      <c r="S35" s="53">
        <f>IFERROR(IF(AND('Summary &amp; Assumptions'!$F$31="Yes",14&lt;='Summary &amp; Assumptions'!$C$23,'Summary &amp; Assumptions'!$F$34&gt;0),IF(14&lt;='Summary &amp; Assumptions'!$F$47,0,IF('Summary &amp; Assumptions'!$F$40=0,'Summary &amp; Assumptions'!$F$34*MAX(0,MIN((14-'Summary &amp; Assumptions'!$F$47)*12,'Summary &amp; Assumptions'!$F$48*12)-(14-'Summary &amp; Assumptions'!$F$47-1)*12)/('Summary &amp; Assumptions'!$F$48*12),-CUMPRINC('Summary &amp; Assumptions'!$F$40/12,'Summary &amp; Assumptions'!$F$48*12,'Summary &amp; Assumptions'!$F$34,MAX(1,(14-'Summary &amp; Assumptions'!$F$47-1)*12+1),MIN((14-'Summary &amp; Assumptions'!$F$47)*12,'Summary &amp; Assumptions'!$F$48*12),0))),0),0)</f>
        <v/>
      </c>
      <c r="T35" s="53">
        <f>IFERROR(IF(AND('Summary &amp; Assumptions'!$F$31="Yes",15&lt;='Summary &amp; Assumptions'!$C$23,'Summary &amp; Assumptions'!$F$34&gt;0),IF(15&lt;='Summary &amp; Assumptions'!$F$47,0,IF('Summary &amp; Assumptions'!$F$40=0,'Summary &amp; Assumptions'!$F$34*MAX(0,MIN((15-'Summary &amp; Assumptions'!$F$47)*12,'Summary &amp; Assumptions'!$F$48*12)-(15-'Summary &amp; Assumptions'!$F$47-1)*12)/('Summary &amp; Assumptions'!$F$48*12),-CUMPRINC('Summary &amp; Assumptions'!$F$40/12,'Summary &amp; Assumptions'!$F$48*12,'Summary &amp; Assumptions'!$F$34,MAX(1,(15-'Summary &amp; Assumptions'!$F$47-1)*12+1),MIN((15-'Summary &amp; Assumptions'!$F$47)*12,'Summary &amp; Assumptions'!$F$48*12),0))),0),0)</f>
        <v/>
      </c>
      <c r="U35" s="1" t="n"/>
      <c r="V35" s="1" t="n"/>
    </row>
    <row r="36" hidden="1" outlineLevel="1">
      <c r="A36" s="1" t="n"/>
      <c r="B36" s="3" t="inlineStr">
        <is>
          <t xml:space="preserve">    Custom 1</t>
        </is>
      </c>
      <c r="C36" s="1" t="n"/>
      <c r="D36" s="1" t="n"/>
      <c r="E36" s="1" t="n"/>
      <c r="F36" s="53">
        <f>IFERROR(IF(AND('Summary &amp; Assumptions'!$G$31="Yes",1&lt;='Summary &amp; Assumptions'!$C$23,'Summary &amp; Assumptions'!$G$34&gt;0),IF(1&lt;='Summary &amp; Assumptions'!$G$47,0,IF('Summary &amp; Assumptions'!$G$40=0,'Summary &amp; Assumptions'!$G$34*MAX(0,MIN((1-'Summary &amp; Assumptions'!$G$47)*12,'Summary &amp; Assumptions'!$G$48*12)-(1-'Summary &amp; Assumptions'!$G$47-1)*12)/('Summary &amp; Assumptions'!$G$48*12),-CUMPRINC('Summary &amp; Assumptions'!$G$40/12,'Summary &amp; Assumptions'!$G$48*12,'Summary &amp; Assumptions'!$G$34,MAX(1,(1-'Summary &amp; Assumptions'!$G$47-1)*12+1),MIN((1-'Summary &amp; Assumptions'!$G$47)*12,'Summary &amp; Assumptions'!$G$48*12),0))),0),0)</f>
        <v/>
      </c>
      <c r="G36" s="53">
        <f>IFERROR(IF(AND('Summary &amp; Assumptions'!$G$31="Yes",2&lt;='Summary &amp; Assumptions'!$C$23,'Summary &amp; Assumptions'!$G$34&gt;0),IF(2&lt;='Summary &amp; Assumptions'!$G$47,0,IF('Summary &amp; Assumptions'!$G$40=0,'Summary &amp; Assumptions'!$G$34*MAX(0,MIN((2-'Summary &amp; Assumptions'!$G$47)*12,'Summary &amp; Assumptions'!$G$48*12)-(2-'Summary &amp; Assumptions'!$G$47-1)*12)/('Summary &amp; Assumptions'!$G$48*12),-CUMPRINC('Summary &amp; Assumptions'!$G$40/12,'Summary &amp; Assumptions'!$G$48*12,'Summary &amp; Assumptions'!$G$34,MAX(1,(2-'Summary &amp; Assumptions'!$G$47-1)*12+1),MIN((2-'Summary &amp; Assumptions'!$G$47)*12,'Summary &amp; Assumptions'!$G$48*12),0))),0),0)</f>
        <v/>
      </c>
      <c r="H36" s="53">
        <f>IFERROR(IF(AND('Summary &amp; Assumptions'!$G$31="Yes",3&lt;='Summary &amp; Assumptions'!$C$23,'Summary &amp; Assumptions'!$G$34&gt;0),IF(3&lt;='Summary &amp; Assumptions'!$G$47,0,IF('Summary &amp; Assumptions'!$G$40=0,'Summary &amp; Assumptions'!$G$34*MAX(0,MIN((3-'Summary &amp; Assumptions'!$G$47)*12,'Summary &amp; Assumptions'!$G$48*12)-(3-'Summary &amp; Assumptions'!$G$47-1)*12)/('Summary &amp; Assumptions'!$G$48*12),-CUMPRINC('Summary &amp; Assumptions'!$G$40/12,'Summary &amp; Assumptions'!$G$48*12,'Summary &amp; Assumptions'!$G$34,MAX(1,(3-'Summary &amp; Assumptions'!$G$47-1)*12+1),MIN((3-'Summary &amp; Assumptions'!$G$47)*12,'Summary &amp; Assumptions'!$G$48*12),0))),0),0)</f>
        <v/>
      </c>
      <c r="I36" s="53">
        <f>IFERROR(IF(AND('Summary &amp; Assumptions'!$G$31="Yes",4&lt;='Summary &amp; Assumptions'!$C$23,'Summary &amp; Assumptions'!$G$34&gt;0),IF(4&lt;='Summary &amp; Assumptions'!$G$47,0,IF('Summary &amp; Assumptions'!$G$40=0,'Summary &amp; Assumptions'!$G$34*MAX(0,MIN((4-'Summary &amp; Assumptions'!$G$47)*12,'Summary &amp; Assumptions'!$G$48*12)-(4-'Summary &amp; Assumptions'!$G$47-1)*12)/('Summary &amp; Assumptions'!$G$48*12),-CUMPRINC('Summary &amp; Assumptions'!$G$40/12,'Summary &amp; Assumptions'!$G$48*12,'Summary &amp; Assumptions'!$G$34,MAX(1,(4-'Summary &amp; Assumptions'!$G$47-1)*12+1),MIN((4-'Summary &amp; Assumptions'!$G$47)*12,'Summary &amp; Assumptions'!$G$48*12),0))),0),0)</f>
        <v/>
      </c>
      <c r="J36" s="53">
        <f>IFERROR(IF(AND('Summary &amp; Assumptions'!$G$31="Yes",5&lt;='Summary &amp; Assumptions'!$C$23,'Summary &amp; Assumptions'!$G$34&gt;0),IF(5&lt;='Summary &amp; Assumptions'!$G$47,0,IF('Summary &amp; Assumptions'!$G$40=0,'Summary &amp; Assumptions'!$G$34*MAX(0,MIN((5-'Summary &amp; Assumptions'!$G$47)*12,'Summary &amp; Assumptions'!$G$48*12)-(5-'Summary &amp; Assumptions'!$G$47-1)*12)/('Summary &amp; Assumptions'!$G$48*12),-CUMPRINC('Summary &amp; Assumptions'!$G$40/12,'Summary &amp; Assumptions'!$G$48*12,'Summary &amp; Assumptions'!$G$34,MAX(1,(5-'Summary &amp; Assumptions'!$G$47-1)*12+1),MIN((5-'Summary &amp; Assumptions'!$G$47)*12,'Summary &amp; Assumptions'!$G$48*12),0))),0),0)</f>
        <v/>
      </c>
      <c r="K36" s="53">
        <f>IFERROR(IF(AND('Summary &amp; Assumptions'!$G$31="Yes",6&lt;='Summary &amp; Assumptions'!$C$23,'Summary &amp; Assumptions'!$G$34&gt;0),IF(6&lt;='Summary &amp; Assumptions'!$G$47,0,IF('Summary &amp; Assumptions'!$G$40=0,'Summary &amp; Assumptions'!$G$34*MAX(0,MIN((6-'Summary &amp; Assumptions'!$G$47)*12,'Summary &amp; Assumptions'!$G$48*12)-(6-'Summary &amp; Assumptions'!$G$47-1)*12)/('Summary &amp; Assumptions'!$G$48*12),-CUMPRINC('Summary &amp; Assumptions'!$G$40/12,'Summary &amp; Assumptions'!$G$48*12,'Summary &amp; Assumptions'!$G$34,MAX(1,(6-'Summary &amp; Assumptions'!$G$47-1)*12+1),MIN((6-'Summary &amp; Assumptions'!$G$47)*12,'Summary &amp; Assumptions'!$G$48*12),0))),0),0)</f>
        <v/>
      </c>
      <c r="L36" s="53">
        <f>IFERROR(IF(AND('Summary &amp; Assumptions'!$G$31="Yes",7&lt;='Summary &amp; Assumptions'!$C$23,'Summary &amp; Assumptions'!$G$34&gt;0),IF(7&lt;='Summary &amp; Assumptions'!$G$47,0,IF('Summary &amp; Assumptions'!$G$40=0,'Summary &amp; Assumptions'!$G$34*MAX(0,MIN((7-'Summary &amp; Assumptions'!$G$47)*12,'Summary &amp; Assumptions'!$G$48*12)-(7-'Summary &amp; Assumptions'!$G$47-1)*12)/('Summary &amp; Assumptions'!$G$48*12),-CUMPRINC('Summary &amp; Assumptions'!$G$40/12,'Summary &amp; Assumptions'!$G$48*12,'Summary &amp; Assumptions'!$G$34,MAX(1,(7-'Summary &amp; Assumptions'!$G$47-1)*12+1),MIN((7-'Summary &amp; Assumptions'!$G$47)*12,'Summary &amp; Assumptions'!$G$48*12),0))),0),0)</f>
        <v/>
      </c>
      <c r="M36" s="53">
        <f>IFERROR(IF(AND('Summary &amp; Assumptions'!$G$31="Yes",8&lt;='Summary &amp; Assumptions'!$C$23,'Summary &amp; Assumptions'!$G$34&gt;0),IF(8&lt;='Summary &amp; Assumptions'!$G$47,0,IF('Summary &amp; Assumptions'!$G$40=0,'Summary &amp; Assumptions'!$G$34*MAX(0,MIN((8-'Summary &amp; Assumptions'!$G$47)*12,'Summary &amp; Assumptions'!$G$48*12)-(8-'Summary &amp; Assumptions'!$G$47-1)*12)/('Summary &amp; Assumptions'!$G$48*12),-CUMPRINC('Summary &amp; Assumptions'!$G$40/12,'Summary &amp; Assumptions'!$G$48*12,'Summary &amp; Assumptions'!$G$34,MAX(1,(8-'Summary &amp; Assumptions'!$G$47-1)*12+1),MIN((8-'Summary &amp; Assumptions'!$G$47)*12,'Summary &amp; Assumptions'!$G$48*12),0))),0),0)</f>
        <v/>
      </c>
      <c r="N36" s="53">
        <f>IFERROR(IF(AND('Summary &amp; Assumptions'!$G$31="Yes",9&lt;='Summary &amp; Assumptions'!$C$23,'Summary &amp; Assumptions'!$G$34&gt;0),IF(9&lt;='Summary &amp; Assumptions'!$G$47,0,IF('Summary &amp; Assumptions'!$G$40=0,'Summary &amp; Assumptions'!$G$34*MAX(0,MIN((9-'Summary &amp; Assumptions'!$G$47)*12,'Summary &amp; Assumptions'!$G$48*12)-(9-'Summary &amp; Assumptions'!$G$47-1)*12)/('Summary &amp; Assumptions'!$G$48*12),-CUMPRINC('Summary &amp; Assumptions'!$G$40/12,'Summary &amp; Assumptions'!$G$48*12,'Summary &amp; Assumptions'!$G$34,MAX(1,(9-'Summary &amp; Assumptions'!$G$47-1)*12+1),MIN((9-'Summary &amp; Assumptions'!$G$47)*12,'Summary &amp; Assumptions'!$G$48*12),0))),0),0)</f>
        <v/>
      </c>
      <c r="O36" s="53">
        <f>IFERROR(IF(AND('Summary &amp; Assumptions'!$G$31="Yes",10&lt;='Summary &amp; Assumptions'!$C$23,'Summary &amp; Assumptions'!$G$34&gt;0),IF(10&lt;='Summary &amp; Assumptions'!$G$47,0,IF('Summary &amp; Assumptions'!$G$40=0,'Summary &amp; Assumptions'!$G$34*MAX(0,MIN((10-'Summary &amp; Assumptions'!$G$47)*12,'Summary &amp; Assumptions'!$G$48*12)-(10-'Summary &amp; Assumptions'!$G$47-1)*12)/('Summary &amp; Assumptions'!$G$48*12),-CUMPRINC('Summary &amp; Assumptions'!$G$40/12,'Summary &amp; Assumptions'!$G$48*12,'Summary &amp; Assumptions'!$G$34,MAX(1,(10-'Summary &amp; Assumptions'!$G$47-1)*12+1),MIN((10-'Summary &amp; Assumptions'!$G$47)*12,'Summary &amp; Assumptions'!$G$48*12),0))),0),0)</f>
        <v/>
      </c>
      <c r="P36" s="53">
        <f>IFERROR(IF(AND('Summary &amp; Assumptions'!$G$31="Yes",11&lt;='Summary &amp; Assumptions'!$C$23,'Summary &amp; Assumptions'!$G$34&gt;0),IF(11&lt;='Summary &amp; Assumptions'!$G$47,0,IF('Summary &amp; Assumptions'!$G$40=0,'Summary &amp; Assumptions'!$G$34*MAX(0,MIN((11-'Summary &amp; Assumptions'!$G$47)*12,'Summary &amp; Assumptions'!$G$48*12)-(11-'Summary &amp; Assumptions'!$G$47-1)*12)/('Summary &amp; Assumptions'!$G$48*12),-CUMPRINC('Summary &amp; Assumptions'!$G$40/12,'Summary &amp; Assumptions'!$G$48*12,'Summary &amp; Assumptions'!$G$34,MAX(1,(11-'Summary &amp; Assumptions'!$G$47-1)*12+1),MIN((11-'Summary &amp; Assumptions'!$G$47)*12,'Summary &amp; Assumptions'!$G$48*12),0))),0),0)</f>
        <v/>
      </c>
      <c r="Q36" s="53">
        <f>IFERROR(IF(AND('Summary &amp; Assumptions'!$G$31="Yes",12&lt;='Summary &amp; Assumptions'!$C$23,'Summary &amp; Assumptions'!$G$34&gt;0),IF(12&lt;='Summary &amp; Assumptions'!$G$47,0,IF('Summary &amp; Assumptions'!$G$40=0,'Summary &amp; Assumptions'!$G$34*MAX(0,MIN((12-'Summary &amp; Assumptions'!$G$47)*12,'Summary &amp; Assumptions'!$G$48*12)-(12-'Summary &amp; Assumptions'!$G$47-1)*12)/('Summary &amp; Assumptions'!$G$48*12),-CUMPRINC('Summary &amp; Assumptions'!$G$40/12,'Summary &amp; Assumptions'!$G$48*12,'Summary &amp; Assumptions'!$G$34,MAX(1,(12-'Summary &amp; Assumptions'!$G$47-1)*12+1),MIN((12-'Summary &amp; Assumptions'!$G$47)*12,'Summary &amp; Assumptions'!$G$48*12),0))),0),0)</f>
        <v/>
      </c>
      <c r="R36" s="53">
        <f>IFERROR(IF(AND('Summary &amp; Assumptions'!$G$31="Yes",13&lt;='Summary &amp; Assumptions'!$C$23,'Summary &amp; Assumptions'!$G$34&gt;0),IF(13&lt;='Summary &amp; Assumptions'!$G$47,0,IF('Summary &amp; Assumptions'!$G$40=0,'Summary &amp; Assumptions'!$G$34*MAX(0,MIN((13-'Summary &amp; Assumptions'!$G$47)*12,'Summary &amp; Assumptions'!$G$48*12)-(13-'Summary &amp; Assumptions'!$G$47-1)*12)/('Summary &amp; Assumptions'!$G$48*12),-CUMPRINC('Summary &amp; Assumptions'!$G$40/12,'Summary &amp; Assumptions'!$G$48*12,'Summary &amp; Assumptions'!$G$34,MAX(1,(13-'Summary &amp; Assumptions'!$G$47-1)*12+1),MIN((13-'Summary &amp; Assumptions'!$G$47)*12,'Summary &amp; Assumptions'!$G$48*12),0))),0),0)</f>
        <v/>
      </c>
      <c r="S36" s="53">
        <f>IFERROR(IF(AND('Summary &amp; Assumptions'!$G$31="Yes",14&lt;='Summary &amp; Assumptions'!$C$23,'Summary &amp; Assumptions'!$G$34&gt;0),IF(14&lt;='Summary &amp; Assumptions'!$G$47,0,IF('Summary &amp; Assumptions'!$G$40=0,'Summary &amp; Assumptions'!$G$34*MAX(0,MIN((14-'Summary &amp; Assumptions'!$G$47)*12,'Summary &amp; Assumptions'!$G$48*12)-(14-'Summary &amp; Assumptions'!$G$47-1)*12)/('Summary &amp; Assumptions'!$G$48*12),-CUMPRINC('Summary &amp; Assumptions'!$G$40/12,'Summary &amp; Assumptions'!$G$48*12,'Summary &amp; Assumptions'!$G$34,MAX(1,(14-'Summary &amp; Assumptions'!$G$47-1)*12+1),MIN((14-'Summary &amp; Assumptions'!$G$47)*12,'Summary &amp; Assumptions'!$G$48*12),0))),0),0)</f>
        <v/>
      </c>
      <c r="T36" s="53">
        <f>IFERROR(IF(AND('Summary &amp; Assumptions'!$G$31="Yes",15&lt;='Summary &amp; Assumptions'!$C$23,'Summary &amp; Assumptions'!$G$34&gt;0),IF(15&lt;='Summary &amp; Assumptions'!$G$47,0,IF('Summary &amp; Assumptions'!$G$40=0,'Summary &amp; Assumptions'!$G$34*MAX(0,MIN((15-'Summary &amp; Assumptions'!$G$47)*12,'Summary &amp; Assumptions'!$G$48*12)-(15-'Summary &amp; Assumptions'!$G$47-1)*12)/('Summary &amp; Assumptions'!$G$48*12),-CUMPRINC('Summary &amp; Assumptions'!$G$40/12,'Summary &amp; Assumptions'!$G$48*12,'Summary &amp; Assumptions'!$G$34,MAX(1,(15-'Summary &amp; Assumptions'!$G$47-1)*12+1),MIN((15-'Summary &amp; Assumptions'!$G$47)*12,'Summary &amp; Assumptions'!$G$48*12),0))),0),0)</f>
        <v/>
      </c>
      <c r="U36" s="1" t="n"/>
      <c r="V36" s="1" t="n"/>
    </row>
    <row r="37" hidden="1" outlineLevel="1">
      <c r="A37" s="1" t="n"/>
      <c r="B37" s="3" t="inlineStr">
        <is>
          <t xml:space="preserve">    Custom 2</t>
        </is>
      </c>
      <c r="C37" s="1" t="n"/>
      <c r="D37" s="1" t="n"/>
      <c r="E37" s="1" t="n"/>
      <c r="F37" s="53">
        <f>IFERROR(IF(AND('Summary &amp; Assumptions'!$H$31="Yes",1&lt;='Summary &amp; Assumptions'!$C$23,'Summary &amp; Assumptions'!$H$34&gt;0),IF(1&lt;='Summary &amp; Assumptions'!$H$47,0,IF('Summary &amp; Assumptions'!$H$40=0,'Summary &amp; Assumptions'!$H$34*MAX(0,MIN((1-'Summary &amp; Assumptions'!$H$47)*12,'Summary &amp; Assumptions'!$H$48*12)-(1-'Summary &amp; Assumptions'!$H$47-1)*12)/('Summary &amp; Assumptions'!$H$48*12),-CUMPRINC('Summary &amp; Assumptions'!$H$40/12,'Summary &amp; Assumptions'!$H$48*12,'Summary &amp; Assumptions'!$H$34,MAX(1,(1-'Summary &amp; Assumptions'!$H$47-1)*12+1),MIN((1-'Summary &amp; Assumptions'!$H$47)*12,'Summary &amp; Assumptions'!$H$48*12),0))),0),0)</f>
        <v/>
      </c>
      <c r="G37" s="53">
        <f>IFERROR(IF(AND('Summary &amp; Assumptions'!$H$31="Yes",2&lt;='Summary &amp; Assumptions'!$C$23,'Summary &amp; Assumptions'!$H$34&gt;0),IF(2&lt;='Summary &amp; Assumptions'!$H$47,0,IF('Summary &amp; Assumptions'!$H$40=0,'Summary &amp; Assumptions'!$H$34*MAX(0,MIN((2-'Summary &amp; Assumptions'!$H$47)*12,'Summary &amp; Assumptions'!$H$48*12)-(2-'Summary &amp; Assumptions'!$H$47-1)*12)/('Summary &amp; Assumptions'!$H$48*12),-CUMPRINC('Summary &amp; Assumptions'!$H$40/12,'Summary &amp; Assumptions'!$H$48*12,'Summary &amp; Assumptions'!$H$34,MAX(1,(2-'Summary &amp; Assumptions'!$H$47-1)*12+1),MIN((2-'Summary &amp; Assumptions'!$H$47)*12,'Summary &amp; Assumptions'!$H$48*12),0))),0),0)</f>
        <v/>
      </c>
      <c r="H37" s="53">
        <f>IFERROR(IF(AND('Summary &amp; Assumptions'!$H$31="Yes",3&lt;='Summary &amp; Assumptions'!$C$23,'Summary &amp; Assumptions'!$H$34&gt;0),IF(3&lt;='Summary &amp; Assumptions'!$H$47,0,IF('Summary &amp; Assumptions'!$H$40=0,'Summary &amp; Assumptions'!$H$34*MAX(0,MIN((3-'Summary &amp; Assumptions'!$H$47)*12,'Summary &amp; Assumptions'!$H$48*12)-(3-'Summary &amp; Assumptions'!$H$47-1)*12)/('Summary &amp; Assumptions'!$H$48*12),-CUMPRINC('Summary &amp; Assumptions'!$H$40/12,'Summary &amp; Assumptions'!$H$48*12,'Summary &amp; Assumptions'!$H$34,MAX(1,(3-'Summary &amp; Assumptions'!$H$47-1)*12+1),MIN((3-'Summary &amp; Assumptions'!$H$47)*12,'Summary &amp; Assumptions'!$H$48*12),0))),0),0)</f>
        <v/>
      </c>
      <c r="I37" s="53">
        <f>IFERROR(IF(AND('Summary &amp; Assumptions'!$H$31="Yes",4&lt;='Summary &amp; Assumptions'!$C$23,'Summary &amp; Assumptions'!$H$34&gt;0),IF(4&lt;='Summary &amp; Assumptions'!$H$47,0,IF('Summary &amp; Assumptions'!$H$40=0,'Summary &amp; Assumptions'!$H$34*MAX(0,MIN((4-'Summary &amp; Assumptions'!$H$47)*12,'Summary &amp; Assumptions'!$H$48*12)-(4-'Summary &amp; Assumptions'!$H$47-1)*12)/('Summary &amp; Assumptions'!$H$48*12),-CUMPRINC('Summary &amp; Assumptions'!$H$40/12,'Summary &amp; Assumptions'!$H$48*12,'Summary &amp; Assumptions'!$H$34,MAX(1,(4-'Summary &amp; Assumptions'!$H$47-1)*12+1),MIN((4-'Summary &amp; Assumptions'!$H$47)*12,'Summary &amp; Assumptions'!$H$48*12),0))),0),0)</f>
        <v/>
      </c>
      <c r="J37" s="53">
        <f>IFERROR(IF(AND('Summary &amp; Assumptions'!$H$31="Yes",5&lt;='Summary &amp; Assumptions'!$C$23,'Summary &amp; Assumptions'!$H$34&gt;0),IF(5&lt;='Summary &amp; Assumptions'!$H$47,0,IF('Summary &amp; Assumptions'!$H$40=0,'Summary &amp; Assumptions'!$H$34*MAX(0,MIN((5-'Summary &amp; Assumptions'!$H$47)*12,'Summary &amp; Assumptions'!$H$48*12)-(5-'Summary &amp; Assumptions'!$H$47-1)*12)/('Summary &amp; Assumptions'!$H$48*12),-CUMPRINC('Summary &amp; Assumptions'!$H$40/12,'Summary &amp; Assumptions'!$H$48*12,'Summary &amp; Assumptions'!$H$34,MAX(1,(5-'Summary &amp; Assumptions'!$H$47-1)*12+1),MIN((5-'Summary &amp; Assumptions'!$H$47)*12,'Summary &amp; Assumptions'!$H$48*12),0))),0),0)</f>
        <v/>
      </c>
      <c r="K37" s="53">
        <f>IFERROR(IF(AND('Summary &amp; Assumptions'!$H$31="Yes",6&lt;='Summary &amp; Assumptions'!$C$23,'Summary &amp; Assumptions'!$H$34&gt;0),IF(6&lt;='Summary &amp; Assumptions'!$H$47,0,IF('Summary &amp; Assumptions'!$H$40=0,'Summary &amp; Assumptions'!$H$34*MAX(0,MIN((6-'Summary &amp; Assumptions'!$H$47)*12,'Summary &amp; Assumptions'!$H$48*12)-(6-'Summary &amp; Assumptions'!$H$47-1)*12)/('Summary &amp; Assumptions'!$H$48*12),-CUMPRINC('Summary &amp; Assumptions'!$H$40/12,'Summary &amp; Assumptions'!$H$48*12,'Summary &amp; Assumptions'!$H$34,MAX(1,(6-'Summary &amp; Assumptions'!$H$47-1)*12+1),MIN((6-'Summary &amp; Assumptions'!$H$47)*12,'Summary &amp; Assumptions'!$H$48*12),0))),0),0)</f>
        <v/>
      </c>
      <c r="L37" s="53">
        <f>IFERROR(IF(AND('Summary &amp; Assumptions'!$H$31="Yes",7&lt;='Summary &amp; Assumptions'!$C$23,'Summary &amp; Assumptions'!$H$34&gt;0),IF(7&lt;='Summary &amp; Assumptions'!$H$47,0,IF('Summary &amp; Assumptions'!$H$40=0,'Summary &amp; Assumptions'!$H$34*MAX(0,MIN((7-'Summary &amp; Assumptions'!$H$47)*12,'Summary &amp; Assumptions'!$H$48*12)-(7-'Summary &amp; Assumptions'!$H$47-1)*12)/('Summary &amp; Assumptions'!$H$48*12),-CUMPRINC('Summary &amp; Assumptions'!$H$40/12,'Summary &amp; Assumptions'!$H$48*12,'Summary &amp; Assumptions'!$H$34,MAX(1,(7-'Summary &amp; Assumptions'!$H$47-1)*12+1),MIN((7-'Summary &amp; Assumptions'!$H$47)*12,'Summary &amp; Assumptions'!$H$48*12),0))),0),0)</f>
        <v/>
      </c>
      <c r="M37" s="53">
        <f>IFERROR(IF(AND('Summary &amp; Assumptions'!$H$31="Yes",8&lt;='Summary &amp; Assumptions'!$C$23,'Summary &amp; Assumptions'!$H$34&gt;0),IF(8&lt;='Summary &amp; Assumptions'!$H$47,0,IF('Summary &amp; Assumptions'!$H$40=0,'Summary &amp; Assumptions'!$H$34*MAX(0,MIN((8-'Summary &amp; Assumptions'!$H$47)*12,'Summary &amp; Assumptions'!$H$48*12)-(8-'Summary &amp; Assumptions'!$H$47-1)*12)/('Summary &amp; Assumptions'!$H$48*12),-CUMPRINC('Summary &amp; Assumptions'!$H$40/12,'Summary &amp; Assumptions'!$H$48*12,'Summary &amp; Assumptions'!$H$34,MAX(1,(8-'Summary &amp; Assumptions'!$H$47-1)*12+1),MIN((8-'Summary &amp; Assumptions'!$H$47)*12,'Summary &amp; Assumptions'!$H$48*12),0))),0),0)</f>
        <v/>
      </c>
      <c r="N37" s="53">
        <f>IFERROR(IF(AND('Summary &amp; Assumptions'!$H$31="Yes",9&lt;='Summary &amp; Assumptions'!$C$23,'Summary &amp; Assumptions'!$H$34&gt;0),IF(9&lt;='Summary &amp; Assumptions'!$H$47,0,IF('Summary &amp; Assumptions'!$H$40=0,'Summary &amp; Assumptions'!$H$34*MAX(0,MIN((9-'Summary &amp; Assumptions'!$H$47)*12,'Summary &amp; Assumptions'!$H$48*12)-(9-'Summary &amp; Assumptions'!$H$47-1)*12)/('Summary &amp; Assumptions'!$H$48*12),-CUMPRINC('Summary &amp; Assumptions'!$H$40/12,'Summary &amp; Assumptions'!$H$48*12,'Summary &amp; Assumptions'!$H$34,MAX(1,(9-'Summary &amp; Assumptions'!$H$47-1)*12+1),MIN((9-'Summary &amp; Assumptions'!$H$47)*12,'Summary &amp; Assumptions'!$H$48*12),0))),0),0)</f>
        <v/>
      </c>
      <c r="O37" s="53">
        <f>IFERROR(IF(AND('Summary &amp; Assumptions'!$H$31="Yes",10&lt;='Summary &amp; Assumptions'!$C$23,'Summary &amp; Assumptions'!$H$34&gt;0),IF(10&lt;='Summary &amp; Assumptions'!$H$47,0,IF('Summary &amp; Assumptions'!$H$40=0,'Summary &amp; Assumptions'!$H$34*MAX(0,MIN((10-'Summary &amp; Assumptions'!$H$47)*12,'Summary &amp; Assumptions'!$H$48*12)-(10-'Summary &amp; Assumptions'!$H$47-1)*12)/('Summary &amp; Assumptions'!$H$48*12),-CUMPRINC('Summary &amp; Assumptions'!$H$40/12,'Summary &amp; Assumptions'!$H$48*12,'Summary &amp; Assumptions'!$H$34,MAX(1,(10-'Summary &amp; Assumptions'!$H$47-1)*12+1),MIN((10-'Summary &amp; Assumptions'!$H$47)*12,'Summary &amp; Assumptions'!$H$48*12),0))),0),0)</f>
        <v/>
      </c>
      <c r="P37" s="53">
        <f>IFERROR(IF(AND('Summary &amp; Assumptions'!$H$31="Yes",11&lt;='Summary &amp; Assumptions'!$C$23,'Summary &amp; Assumptions'!$H$34&gt;0),IF(11&lt;='Summary &amp; Assumptions'!$H$47,0,IF('Summary &amp; Assumptions'!$H$40=0,'Summary &amp; Assumptions'!$H$34*MAX(0,MIN((11-'Summary &amp; Assumptions'!$H$47)*12,'Summary &amp; Assumptions'!$H$48*12)-(11-'Summary &amp; Assumptions'!$H$47-1)*12)/('Summary &amp; Assumptions'!$H$48*12),-CUMPRINC('Summary &amp; Assumptions'!$H$40/12,'Summary &amp; Assumptions'!$H$48*12,'Summary &amp; Assumptions'!$H$34,MAX(1,(11-'Summary &amp; Assumptions'!$H$47-1)*12+1),MIN((11-'Summary &amp; Assumptions'!$H$47)*12,'Summary &amp; Assumptions'!$H$48*12),0))),0),0)</f>
        <v/>
      </c>
      <c r="Q37" s="53">
        <f>IFERROR(IF(AND('Summary &amp; Assumptions'!$H$31="Yes",12&lt;='Summary &amp; Assumptions'!$C$23,'Summary &amp; Assumptions'!$H$34&gt;0),IF(12&lt;='Summary &amp; Assumptions'!$H$47,0,IF('Summary &amp; Assumptions'!$H$40=0,'Summary &amp; Assumptions'!$H$34*MAX(0,MIN((12-'Summary &amp; Assumptions'!$H$47)*12,'Summary &amp; Assumptions'!$H$48*12)-(12-'Summary &amp; Assumptions'!$H$47-1)*12)/('Summary &amp; Assumptions'!$H$48*12),-CUMPRINC('Summary &amp; Assumptions'!$H$40/12,'Summary &amp; Assumptions'!$H$48*12,'Summary &amp; Assumptions'!$H$34,MAX(1,(12-'Summary &amp; Assumptions'!$H$47-1)*12+1),MIN((12-'Summary &amp; Assumptions'!$H$47)*12,'Summary &amp; Assumptions'!$H$48*12),0))),0),0)</f>
        <v/>
      </c>
      <c r="R37" s="53">
        <f>IFERROR(IF(AND('Summary &amp; Assumptions'!$H$31="Yes",13&lt;='Summary &amp; Assumptions'!$C$23,'Summary &amp; Assumptions'!$H$34&gt;0),IF(13&lt;='Summary &amp; Assumptions'!$H$47,0,IF('Summary &amp; Assumptions'!$H$40=0,'Summary &amp; Assumptions'!$H$34*MAX(0,MIN((13-'Summary &amp; Assumptions'!$H$47)*12,'Summary &amp; Assumptions'!$H$48*12)-(13-'Summary &amp; Assumptions'!$H$47-1)*12)/('Summary &amp; Assumptions'!$H$48*12),-CUMPRINC('Summary &amp; Assumptions'!$H$40/12,'Summary &amp; Assumptions'!$H$48*12,'Summary &amp; Assumptions'!$H$34,MAX(1,(13-'Summary &amp; Assumptions'!$H$47-1)*12+1),MIN((13-'Summary &amp; Assumptions'!$H$47)*12,'Summary &amp; Assumptions'!$H$48*12),0))),0),0)</f>
        <v/>
      </c>
      <c r="S37" s="53">
        <f>IFERROR(IF(AND('Summary &amp; Assumptions'!$H$31="Yes",14&lt;='Summary &amp; Assumptions'!$C$23,'Summary &amp; Assumptions'!$H$34&gt;0),IF(14&lt;='Summary &amp; Assumptions'!$H$47,0,IF('Summary &amp; Assumptions'!$H$40=0,'Summary &amp; Assumptions'!$H$34*MAX(0,MIN((14-'Summary &amp; Assumptions'!$H$47)*12,'Summary &amp; Assumptions'!$H$48*12)-(14-'Summary &amp; Assumptions'!$H$47-1)*12)/('Summary &amp; Assumptions'!$H$48*12),-CUMPRINC('Summary &amp; Assumptions'!$H$40/12,'Summary &amp; Assumptions'!$H$48*12,'Summary &amp; Assumptions'!$H$34,MAX(1,(14-'Summary &amp; Assumptions'!$H$47-1)*12+1),MIN((14-'Summary &amp; Assumptions'!$H$47)*12,'Summary &amp; Assumptions'!$H$48*12),0))),0),0)</f>
        <v/>
      </c>
      <c r="T37" s="53">
        <f>IFERROR(IF(AND('Summary &amp; Assumptions'!$H$31="Yes",15&lt;='Summary &amp; Assumptions'!$C$23,'Summary &amp; Assumptions'!$H$34&gt;0),IF(15&lt;='Summary &amp; Assumptions'!$H$47,0,IF('Summary &amp; Assumptions'!$H$40=0,'Summary &amp; Assumptions'!$H$34*MAX(0,MIN((15-'Summary &amp; Assumptions'!$H$47)*12,'Summary &amp; Assumptions'!$H$48*12)-(15-'Summary &amp; Assumptions'!$H$47-1)*12)/('Summary &amp; Assumptions'!$H$48*12),-CUMPRINC('Summary &amp; Assumptions'!$H$40/12,'Summary &amp; Assumptions'!$H$48*12,'Summary &amp; Assumptions'!$H$34,MAX(1,(15-'Summary &amp; Assumptions'!$H$47-1)*12+1),MIN((15-'Summary &amp; Assumptions'!$H$47)*12,'Summary &amp; Assumptions'!$H$48*12),0))),0),0)</f>
        <v/>
      </c>
      <c r="U37" s="1" t="n"/>
      <c r="V37" s="1" t="n"/>
    </row>
    <row r="38" hidden="1" outlineLevel="1">
      <c r="A38" s="1" t="n"/>
      <c r="B38" s="3" t="inlineStr">
        <is>
          <t xml:space="preserve">    Reno Line of Credit</t>
        </is>
      </c>
      <c r="C38" s="1" t="n"/>
      <c r="D38" s="1" t="n"/>
      <c r="E38" s="1" t="n"/>
      <c r="F38" s="53" t="n">
        <v>0</v>
      </c>
      <c r="G38" s="53" t="n">
        <v>0</v>
      </c>
      <c r="H38" s="53" t="n">
        <v>0</v>
      </c>
      <c r="I38" s="53" t="n">
        <v>0</v>
      </c>
      <c r="J38" s="53" t="n">
        <v>0</v>
      </c>
      <c r="K38" s="53" t="n">
        <v>0</v>
      </c>
      <c r="L38" s="53" t="n">
        <v>0</v>
      </c>
      <c r="M38" s="53" t="n">
        <v>0</v>
      </c>
      <c r="N38" s="53" t="n">
        <v>0</v>
      </c>
      <c r="O38" s="53" t="n">
        <v>0</v>
      </c>
      <c r="P38" s="53" t="n">
        <v>0</v>
      </c>
      <c r="Q38" s="53" t="n">
        <v>0</v>
      </c>
      <c r="R38" s="53" t="n">
        <v>0</v>
      </c>
      <c r="S38" s="53" t="n">
        <v>0</v>
      </c>
      <c r="T38" s="53" t="n">
        <v>0</v>
      </c>
      <c r="U38" s="1" t="n"/>
      <c r="V38" s="1" t="n"/>
    </row>
    <row r="39">
      <c r="A39" s="1" t="n"/>
      <c r="B39" s="17" t="inlineStr">
        <is>
          <t>Debt Service</t>
        </is>
      </c>
      <c r="C39" s="1" t="n"/>
      <c r="D39" s="1" t="n"/>
      <c r="E39" s="1" t="n"/>
      <c r="F39" s="39">
        <f>SUM(F40:F46)</f>
        <v/>
      </c>
      <c r="G39" s="39">
        <f>SUM(G40:G46)</f>
        <v/>
      </c>
      <c r="H39" s="39">
        <f>SUM(H40:H46)</f>
        <v/>
      </c>
      <c r="I39" s="39">
        <f>SUM(I40:I46)</f>
        <v/>
      </c>
      <c r="J39" s="39">
        <f>SUM(J40:J46)</f>
        <v/>
      </c>
      <c r="K39" s="39">
        <f>SUM(K40:K46)</f>
        <v/>
      </c>
      <c r="L39" s="39">
        <f>SUM(L40:L46)</f>
        <v/>
      </c>
      <c r="M39" s="39">
        <f>SUM(M40:M46)</f>
        <v/>
      </c>
      <c r="N39" s="39">
        <f>SUM(N40:N46)</f>
        <v/>
      </c>
      <c r="O39" s="39">
        <f>SUM(O40:O46)</f>
        <v/>
      </c>
      <c r="P39" s="39">
        <f>SUM(P40:P46)</f>
        <v/>
      </c>
      <c r="Q39" s="39">
        <f>SUM(Q40:Q46)</f>
        <v/>
      </c>
      <c r="R39" s="39">
        <f>SUM(R40:R46)</f>
        <v/>
      </c>
      <c r="S39" s="39">
        <f>SUM(S40:S46)</f>
        <v/>
      </c>
      <c r="T39" s="39">
        <f>SUM(T40:T46)</f>
        <v/>
      </c>
      <c r="U39" s="1" t="n"/>
      <c r="V39" s="1" t="n"/>
    </row>
    <row r="40" hidden="1" outlineLevel="1">
      <c r="A40" s="1" t="n"/>
      <c r="B40" s="3" t="inlineStr">
        <is>
          <t xml:space="preserve">    Senior</t>
        </is>
      </c>
      <c r="C40" s="1" t="n"/>
      <c r="D40" s="1" t="n"/>
      <c r="E40" s="1" t="n"/>
      <c r="F40" s="53">
        <f>F24+F32</f>
        <v/>
      </c>
      <c r="G40" s="53">
        <f>G24+G32</f>
        <v/>
      </c>
      <c r="H40" s="53">
        <f>H24+H32</f>
        <v/>
      </c>
      <c r="I40" s="53">
        <f>I24+I32</f>
        <v/>
      </c>
      <c r="J40" s="53">
        <f>J24+J32</f>
        <v/>
      </c>
      <c r="K40" s="53">
        <f>K24+K32</f>
        <v/>
      </c>
      <c r="L40" s="53">
        <f>L24+L32</f>
        <v/>
      </c>
      <c r="M40" s="53">
        <f>M24+M32</f>
        <v/>
      </c>
      <c r="N40" s="53">
        <f>N24+N32</f>
        <v/>
      </c>
      <c r="O40" s="53">
        <f>O24+O32</f>
        <v/>
      </c>
      <c r="P40" s="53">
        <f>P24+P32</f>
        <v/>
      </c>
      <c r="Q40" s="53">
        <f>Q24+Q32</f>
        <v/>
      </c>
      <c r="R40" s="53">
        <f>R24+R32</f>
        <v/>
      </c>
      <c r="S40" s="53">
        <f>S24+S32</f>
        <v/>
      </c>
      <c r="T40" s="53">
        <f>T24+T32</f>
        <v/>
      </c>
      <c r="U40" s="1" t="n"/>
      <c r="V40" s="1" t="n"/>
    </row>
    <row r="41" hidden="1" outlineLevel="1">
      <c r="A41" s="1" t="n"/>
      <c r="B41" s="3" t="inlineStr">
        <is>
          <t xml:space="preserve">    Mezz</t>
        </is>
      </c>
      <c r="C41" s="1" t="n"/>
      <c r="D41" s="1" t="n"/>
      <c r="E41" s="1" t="n"/>
      <c r="F41" s="53">
        <f>F25+F33</f>
        <v/>
      </c>
      <c r="G41" s="53">
        <f>G25+G33</f>
        <v/>
      </c>
      <c r="H41" s="53">
        <f>H25+H33</f>
        <v/>
      </c>
      <c r="I41" s="53">
        <f>I25+I33</f>
        <v/>
      </c>
      <c r="J41" s="53">
        <f>J25+J33</f>
        <v/>
      </c>
      <c r="K41" s="53">
        <f>K25+K33</f>
        <v/>
      </c>
      <c r="L41" s="53">
        <f>L25+L33</f>
        <v/>
      </c>
      <c r="M41" s="53">
        <f>M25+M33</f>
        <v/>
      </c>
      <c r="N41" s="53">
        <f>N25+N33</f>
        <v/>
      </c>
      <c r="O41" s="53">
        <f>O25+O33</f>
        <v/>
      </c>
      <c r="P41" s="53">
        <f>P25+P33</f>
        <v/>
      </c>
      <c r="Q41" s="53">
        <f>Q25+Q33</f>
        <v/>
      </c>
      <c r="R41" s="53">
        <f>R25+R33</f>
        <v/>
      </c>
      <c r="S41" s="53">
        <f>S25+S33</f>
        <v/>
      </c>
      <c r="T41" s="53">
        <f>T25+T33</f>
        <v/>
      </c>
      <c r="U41" s="1" t="n"/>
      <c r="V41" s="1" t="n"/>
    </row>
    <row r="42" hidden="1" outlineLevel="1">
      <c r="A42" s="1" t="n"/>
      <c r="B42" s="3" t="inlineStr">
        <is>
          <t xml:space="preserve">    Refi</t>
        </is>
      </c>
      <c r="C42" s="1" t="n"/>
      <c r="D42" s="1" t="n"/>
      <c r="E42" s="1" t="n"/>
      <c r="F42" s="53">
        <f>F26+F34</f>
        <v/>
      </c>
      <c r="G42" s="53">
        <f>G26+G34</f>
        <v/>
      </c>
      <c r="H42" s="53">
        <f>H26+H34</f>
        <v/>
      </c>
      <c r="I42" s="53">
        <f>I26+I34</f>
        <v/>
      </c>
      <c r="J42" s="53">
        <f>J26+J34</f>
        <v/>
      </c>
      <c r="K42" s="53">
        <f>K26+K34</f>
        <v/>
      </c>
      <c r="L42" s="53">
        <f>L26+L34</f>
        <v/>
      </c>
      <c r="M42" s="53">
        <f>M26+M34</f>
        <v/>
      </c>
      <c r="N42" s="53">
        <f>N26+N34</f>
        <v/>
      </c>
      <c r="O42" s="53">
        <f>O26+O34</f>
        <v/>
      </c>
      <c r="P42" s="53">
        <f>P26+P34</f>
        <v/>
      </c>
      <c r="Q42" s="53">
        <f>Q26+Q34</f>
        <v/>
      </c>
      <c r="R42" s="53">
        <f>R26+R34</f>
        <v/>
      </c>
      <c r="S42" s="53">
        <f>S26+S34</f>
        <v/>
      </c>
      <c r="T42" s="53">
        <f>T26+T34</f>
        <v/>
      </c>
      <c r="U42" s="1" t="n"/>
      <c r="V42" s="1" t="n"/>
    </row>
    <row r="43" hidden="1" outlineLevel="1">
      <c r="A43" s="1" t="n"/>
      <c r="B43" s="3" t="inlineStr">
        <is>
          <t xml:space="preserve">    Assumed Loan</t>
        </is>
      </c>
      <c r="C43" s="1" t="n"/>
      <c r="D43" s="1" t="n"/>
      <c r="E43" s="1" t="n"/>
      <c r="F43" s="53">
        <f>F27+F35</f>
        <v/>
      </c>
      <c r="G43" s="53">
        <f>G27+G35</f>
        <v/>
      </c>
      <c r="H43" s="53">
        <f>H27+H35</f>
        <v/>
      </c>
      <c r="I43" s="53">
        <f>I27+I35</f>
        <v/>
      </c>
      <c r="J43" s="53">
        <f>J27+J35</f>
        <v/>
      </c>
      <c r="K43" s="53">
        <f>K27+K35</f>
        <v/>
      </c>
      <c r="L43" s="53">
        <f>L27+L35</f>
        <v/>
      </c>
      <c r="M43" s="53">
        <f>M27+M35</f>
        <v/>
      </c>
      <c r="N43" s="53">
        <f>N27+N35</f>
        <v/>
      </c>
      <c r="O43" s="53">
        <f>O27+O35</f>
        <v/>
      </c>
      <c r="P43" s="53">
        <f>P27+P35</f>
        <v/>
      </c>
      <c r="Q43" s="53">
        <f>Q27+Q35</f>
        <v/>
      </c>
      <c r="R43" s="53">
        <f>R27+R35</f>
        <v/>
      </c>
      <c r="S43" s="53">
        <f>S27+S35</f>
        <v/>
      </c>
      <c r="T43" s="53">
        <f>T27+T35</f>
        <v/>
      </c>
      <c r="U43" s="1" t="n"/>
      <c r="V43" s="1" t="n"/>
    </row>
    <row r="44" hidden="1" outlineLevel="1">
      <c r="A44" s="1" t="n"/>
      <c r="B44" s="3" t="inlineStr">
        <is>
          <t xml:space="preserve">    Custom 1</t>
        </is>
      </c>
      <c r="C44" s="1" t="n"/>
      <c r="D44" s="1" t="n"/>
      <c r="E44" s="1" t="n"/>
      <c r="F44" s="53">
        <f>F28+F36</f>
        <v/>
      </c>
      <c r="G44" s="53">
        <f>G28+G36</f>
        <v/>
      </c>
      <c r="H44" s="53">
        <f>H28+H36</f>
        <v/>
      </c>
      <c r="I44" s="53">
        <f>I28+I36</f>
        <v/>
      </c>
      <c r="J44" s="53">
        <f>J28+J36</f>
        <v/>
      </c>
      <c r="K44" s="53">
        <f>K28+K36</f>
        <v/>
      </c>
      <c r="L44" s="53">
        <f>L28+L36</f>
        <v/>
      </c>
      <c r="M44" s="53">
        <f>M28+M36</f>
        <v/>
      </c>
      <c r="N44" s="53">
        <f>N28+N36</f>
        <v/>
      </c>
      <c r="O44" s="53">
        <f>O28+O36</f>
        <v/>
      </c>
      <c r="P44" s="53">
        <f>P28+P36</f>
        <v/>
      </c>
      <c r="Q44" s="53">
        <f>Q28+Q36</f>
        <v/>
      </c>
      <c r="R44" s="53">
        <f>R28+R36</f>
        <v/>
      </c>
      <c r="S44" s="53">
        <f>S28+S36</f>
        <v/>
      </c>
      <c r="T44" s="53">
        <f>T28+T36</f>
        <v/>
      </c>
      <c r="U44" s="1" t="n"/>
      <c r="V44" s="1" t="n"/>
    </row>
    <row r="45" hidden="1" outlineLevel="1">
      <c r="A45" s="1" t="n"/>
      <c r="B45" s="3" t="inlineStr">
        <is>
          <t xml:space="preserve">    Custom 2</t>
        </is>
      </c>
      <c r="C45" s="1" t="n"/>
      <c r="D45" s="1" t="n"/>
      <c r="E45" s="1" t="n"/>
      <c r="F45" s="53">
        <f>F29+F37</f>
        <v/>
      </c>
      <c r="G45" s="53">
        <f>G29+G37</f>
        <v/>
      </c>
      <c r="H45" s="53">
        <f>H29+H37</f>
        <v/>
      </c>
      <c r="I45" s="53">
        <f>I29+I37</f>
        <v/>
      </c>
      <c r="J45" s="53">
        <f>J29+J37</f>
        <v/>
      </c>
      <c r="K45" s="53">
        <f>K29+K37</f>
        <v/>
      </c>
      <c r="L45" s="53">
        <f>L29+L37</f>
        <v/>
      </c>
      <c r="M45" s="53">
        <f>M29+M37</f>
        <v/>
      </c>
      <c r="N45" s="53">
        <f>N29+N37</f>
        <v/>
      </c>
      <c r="O45" s="53">
        <f>O29+O37</f>
        <v/>
      </c>
      <c r="P45" s="53">
        <f>P29+P37</f>
        <v/>
      </c>
      <c r="Q45" s="53">
        <f>Q29+Q37</f>
        <v/>
      </c>
      <c r="R45" s="53">
        <f>R29+R37</f>
        <v/>
      </c>
      <c r="S45" s="53">
        <f>S29+S37</f>
        <v/>
      </c>
      <c r="T45" s="53">
        <f>T29+T37</f>
        <v/>
      </c>
      <c r="U45" s="1" t="n"/>
      <c r="V45" s="1" t="n"/>
    </row>
    <row r="46" hidden="1" outlineLevel="1">
      <c r="A46" s="1" t="n"/>
      <c r="B46" s="3" t="inlineStr">
        <is>
          <t xml:space="preserve">    Reno Line of Credit</t>
        </is>
      </c>
      <c r="C46" s="1" t="n"/>
      <c r="D46" s="1" t="n"/>
      <c r="E46" s="1" t="n"/>
      <c r="F46" s="53" t="n">
        <v>0</v>
      </c>
      <c r="G46" s="53" t="n">
        <v>0</v>
      </c>
      <c r="H46" s="53" t="n">
        <v>0</v>
      </c>
      <c r="I46" s="53" t="n">
        <v>0</v>
      </c>
      <c r="J46" s="53" t="n">
        <v>0</v>
      </c>
      <c r="K46" s="53" t="n">
        <v>0</v>
      </c>
      <c r="L46" s="53" t="n">
        <v>0</v>
      </c>
      <c r="M46" s="53" t="n">
        <v>0</v>
      </c>
      <c r="N46" s="53" t="n">
        <v>0</v>
      </c>
      <c r="O46" s="53" t="n">
        <v>0</v>
      </c>
      <c r="P46" s="53" t="n">
        <v>0</v>
      </c>
      <c r="Q46" s="53" t="n">
        <v>0</v>
      </c>
      <c r="R46" s="53" t="n">
        <v>0</v>
      </c>
      <c r="S46" s="53" t="n">
        <v>0</v>
      </c>
      <c r="T46" s="53" t="n">
        <v>0</v>
      </c>
      <c r="U46" s="1" t="n"/>
      <c r="V46" s="1" t="n"/>
    </row>
    <row r="47">
      <c r="A47" s="1" t="n"/>
      <c r="B47" s="17" t="inlineStr">
        <is>
          <t>Payoffs + Exit Fees</t>
        </is>
      </c>
      <c r="C47" s="1" t="n"/>
      <c r="D47" s="1" t="n"/>
      <c r="E47" s="1" t="n"/>
      <c r="F47" s="38">
        <f>SUM(F48:F54)</f>
        <v/>
      </c>
      <c r="G47" s="38">
        <f>SUM(G48:G54)</f>
        <v/>
      </c>
      <c r="H47" s="38">
        <f>SUM(H48:H54)</f>
        <v/>
      </c>
      <c r="I47" s="38">
        <f>SUM(I48:I54)</f>
        <v/>
      </c>
      <c r="J47" s="38">
        <f>SUM(J48:J54)</f>
        <v/>
      </c>
      <c r="K47" s="38">
        <f>SUM(K48:K54)</f>
        <v/>
      </c>
      <c r="L47" s="38">
        <f>SUM(L48:L54)</f>
        <v/>
      </c>
      <c r="M47" s="38">
        <f>SUM(M48:M54)</f>
        <v/>
      </c>
      <c r="N47" s="38">
        <f>SUM(N48:N54)</f>
        <v/>
      </c>
      <c r="O47" s="38">
        <f>SUM(O48:O54)</f>
        <v/>
      </c>
      <c r="P47" s="38">
        <f>SUM(P48:P54)</f>
        <v/>
      </c>
      <c r="Q47" s="38">
        <f>SUM(Q48:Q54)</f>
        <v/>
      </c>
      <c r="R47" s="38">
        <f>SUM(R48:R54)</f>
        <v/>
      </c>
      <c r="S47" s="38">
        <f>SUM(S48:S54)</f>
        <v/>
      </c>
      <c r="T47" s="38">
        <f>SUM(T48:T54)</f>
        <v/>
      </c>
      <c r="U47" s="1" t="n"/>
      <c r="V47" s="1" t="n"/>
    </row>
    <row r="48" hidden="1" outlineLevel="1">
      <c r="A48" s="1" t="n"/>
      <c r="B48" s="3" t="inlineStr">
        <is>
          <t xml:space="preserve">    Senior</t>
        </is>
      </c>
      <c r="C48" s="1" t="n"/>
      <c r="D48" s="1" t="n"/>
      <c r="E48" s="1" t="n"/>
      <c r="F48" s="53">
        <f>IF(AND(1='Summary &amp; Assumptions'!$C$23,'Summary &amp; Assumptions'!$C$31="Yes"),F56,0)</f>
        <v/>
      </c>
      <c r="G48" s="53">
        <f>IF(AND(2='Summary &amp; Assumptions'!$C$23,'Summary &amp; Assumptions'!$C$31="Yes"),G56,0)</f>
        <v/>
      </c>
      <c r="H48" s="53">
        <f>IF(AND(3='Summary &amp; Assumptions'!$C$23,'Summary &amp; Assumptions'!$C$31="Yes"),H56,0)</f>
        <v/>
      </c>
      <c r="I48" s="53">
        <f>IF(AND(4='Summary &amp; Assumptions'!$C$23,'Summary &amp; Assumptions'!$C$31="Yes"),I56,0)</f>
        <v/>
      </c>
      <c r="J48" s="53">
        <f>IF(AND(5='Summary &amp; Assumptions'!$C$23,'Summary &amp; Assumptions'!$C$31="Yes"),J56,0)</f>
        <v/>
      </c>
      <c r="K48" s="53">
        <f>IF(AND(6='Summary &amp; Assumptions'!$C$23,'Summary &amp; Assumptions'!$C$31="Yes"),K56,0)</f>
        <v/>
      </c>
      <c r="L48" s="53">
        <f>IF(AND(7='Summary &amp; Assumptions'!$C$23,'Summary &amp; Assumptions'!$C$31="Yes"),L56,0)</f>
        <v/>
      </c>
      <c r="M48" s="53">
        <f>IF(AND(8='Summary &amp; Assumptions'!$C$23,'Summary &amp; Assumptions'!$C$31="Yes"),M56,0)</f>
        <v/>
      </c>
      <c r="N48" s="53">
        <f>IF(AND(9='Summary &amp; Assumptions'!$C$23,'Summary &amp; Assumptions'!$C$31="Yes"),N56,0)</f>
        <v/>
      </c>
      <c r="O48" s="53">
        <f>IF(AND(10='Summary &amp; Assumptions'!$C$23,'Summary &amp; Assumptions'!$C$31="Yes"),O56,0)</f>
        <v/>
      </c>
      <c r="P48" s="53">
        <f>IF(AND(11='Summary &amp; Assumptions'!$C$23,'Summary &amp; Assumptions'!$C$31="Yes"),P56,0)</f>
        <v/>
      </c>
      <c r="Q48" s="53">
        <f>IF(AND(12='Summary &amp; Assumptions'!$C$23,'Summary &amp; Assumptions'!$C$31="Yes"),Q56,0)</f>
        <v/>
      </c>
      <c r="R48" s="53">
        <f>IF(AND(13='Summary &amp; Assumptions'!$C$23,'Summary &amp; Assumptions'!$C$31="Yes"),R56,0)</f>
        <v/>
      </c>
      <c r="S48" s="53">
        <f>IF(AND(14='Summary &amp; Assumptions'!$C$23,'Summary &amp; Assumptions'!$C$31="Yes"),S56,0)</f>
        <v/>
      </c>
      <c r="T48" s="53">
        <f>IF(AND(15='Summary &amp; Assumptions'!$C$23,'Summary &amp; Assumptions'!$C$31="Yes"),T56,0)</f>
        <v/>
      </c>
      <c r="U48" s="1" t="n"/>
      <c r="V48" s="1" t="n"/>
    </row>
    <row r="49" hidden="1" outlineLevel="1">
      <c r="A49" s="1" t="n"/>
      <c r="B49" s="3" t="inlineStr">
        <is>
          <t xml:space="preserve">    Mezz</t>
        </is>
      </c>
      <c r="C49" s="1" t="n"/>
      <c r="D49" s="1" t="n"/>
      <c r="E49" s="1" t="n"/>
      <c r="F49" s="53">
        <f>IF(AND(1='Summary &amp; Assumptions'!$C$23,'Summary &amp; Assumptions'!$D$31="Yes"),F57,0)</f>
        <v/>
      </c>
      <c r="G49" s="53">
        <f>IF(AND(2='Summary &amp; Assumptions'!$C$23,'Summary &amp; Assumptions'!$D$31="Yes"),G57,0)</f>
        <v/>
      </c>
      <c r="H49" s="53">
        <f>IF(AND(3='Summary &amp; Assumptions'!$C$23,'Summary &amp; Assumptions'!$D$31="Yes"),H57,0)</f>
        <v/>
      </c>
      <c r="I49" s="53">
        <f>IF(AND(4='Summary &amp; Assumptions'!$C$23,'Summary &amp; Assumptions'!$D$31="Yes"),I57,0)</f>
        <v/>
      </c>
      <c r="J49" s="53">
        <f>IF(AND(5='Summary &amp; Assumptions'!$C$23,'Summary &amp; Assumptions'!$D$31="Yes"),J57,0)</f>
        <v/>
      </c>
      <c r="K49" s="53">
        <f>IF(AND(6='Summary &amp; Assumptions'!$C$23,'Summary &amp; Assumptions'!$D$31="Yes"),K57,0)</f>
        <v/>
      </c>
      <c r="L49" s="53">
        <f>IF(AND(7='Summary &amp; Assumptions'!$C$23,'Summary &amp; Assumptions'!$D$31="Yes"),L57,0)</f>
        <v/>
      </c>
      <c r="M49" s="53">
        <f>IF(AND(8='Summary &amp; Assumptions'!$C$23,'Summary &amp; Assumptions'!$D$31="Yes"),M57,0)</f>
        <v/>
      </c>
      <c r="N49" s="53">
        <f>IF(AND(9='Summary &amp; Assumptions'!$C$23,'Summary &amp; Assumptions'!$D$31="Yes"),N57,0)</f>
        <v/>
      </c>
      <c r="O49" s="53">
        <f>IF(AND(10='Summary &amp; Assumptions'!$C$23,'Summary &amp; Assumptions'!$D$31="Yes"),O57,0)</f>
        <v/>
      </c>
      <c r="P49" s="53">
        <f>IF(AND(11='Summary &amp; Assumptions'!$C$23,'Summary &amp; Assumptions'!$D$31="Yes"),P57,0)</f>
        <v/>
      </c>
      <c r="Q49" s="53">
        <f>IF(AND(12='Summary &amp; Assumptions'!$C$23,'Summary &amp; Assumptions'!$D$31="Yes"),Q57,0)</f>
        <v/>
      </c>
      <c r="R49" s="53">
        <f>IF(AND(13='Summary &amp; Assumptions'!$C$23,'Summary &amp; Assumptions'!$D$31="Yes"),R57,0)</f>
        <v/>
      </c>
      <c r="S49" s="53">
        <f>IF(AND(14='Summary &amp; Assumptions'!$C$23,'Summary &amp; Assumptions'!$D$31="Yes"),S57,0)</f>
        <v/>
      </c>
      <c r="T49" s="53">
        <f>IF(AND(15='Summary &amp; Assumptions'!$C$23,'Summary &amp; Assumptions'!$D$31="Yes"),T57,0)</f>
        <v/>
      </c>
      <c r="U49" s="1" t="n"/>
      <c r="V49" s="1" t="n"/>
    </row>
    <row r="50" hidden="1" outlineLevel="1">
      <c r="A50" s="1" t="n"/>
      <c r="B50" s="3" t="inlineStr">
        <is>
          <t xml:space="preserve">    Refi</t>
        </is>
      </c>
      <c r="C50" s="1" t="n"/>
      <c r="D50" s="1" t="n"/>
      <c r="E50" s="1" t="n"/>
      <c r="F50" s="53">
        <f>IF(AND(1='Summary &amp; Assumptions'!$C$23,'Summary &amp; Assumptions'!$E$31="Yes"),F58,0)</f>
        <v/>
      </c>
      <c r="G50" s="53">
        <f>IF(AND(2='Summary &amp; Assumptions'!$C$23,'Summary &amp; Assumptions'!$E$31="Yes"),G58,0)</f>
        <v/>
      </c>
      <c r="H50" s="53">
        <f>IF(AND(3='Summary &amp; Assumptions'!$C$23,'Summary &amp; Assumptions'!$E$31="Yes"),H58,0)</f>
        <v/>
      </c>
      <c r="I50" s="53">
        <f>IF(AND(4='Summary &amp; Assumptions'!$C$23,'Summary &amp; Assumptions'!$E$31="Yes"),I58,0)</f>
        <v/>
      </c>
      <c r="J50" s="53">
        <f>IF(AND(5='Summary &amp; Assumptions'!$C$23,'Summary &amp; Assumptions'!$E$31="Yes"),J58,0)</f>
        <v/>
      </c>
      <c r="K50" s="53">
        <f>IF(AND(6='Summary &amp; Assumptions'!$C$23,'Summary &amp; Assumptions'!$E$31="Yes"),K58,0)</f>
        <v/>
      </c>
      <c r="L50" s="53">
        <f>IF(AND(7='Summary &amp; Assumptions'!$C$23,'Summary &amp; Assumptions'!$E$31="Yes"),L58,0)</f>
        <v/>
      </c>
      <c r="M50" s="53">
        <f>IF(AND(8='Summary &amp; Assumptions'!$C$23,'Summary &amp; Assumptions'!$E$31="Yes"),M58,0)</f>
        <v/>
      </c>
      <c r="N50" s="53">
        <f>IF(AND(9='Summary &amp; Assumptions'!$C$23,'Summary &amp; Assumptions'!$E$31="Yes"),N58,0)</f>
        <v/>
      </c>
      <c r="O50" s="53">
        <f>IF(AND(10='Summary &amp; Assumptions'!$C$23,'Summary &amp; Assumptions'!$E$31="Yes"),O58,0)</f>
        <v/>
      </c>
      <c r="P50" s="53">
        <f>IF(AND(11='Summary &amp; Assumptions'!$C$23,'Summary &amp; Assumptions'!$E$31="Yes"),P58,0)</f>
        <v/>
      </c>
      <c r="Q50" s="53">
        <f>IF(AND(12='Summary &amp; Assumptions'!$C$23,'Summary &amp; Assumptions'!$E$31="Yes"),Q58,0)</f>
        <v/>
      </c>
      <c r="R50" s="53">
        <f>IF(AND(13='Summary &amp; Assumptions'!$C$23,'Summary &amp; Assumptions'!$E$31="Yes"),R58,0)</f>
        <v/>
      </c>
      <c r="S50" s="53">
        <f>IF(AND(14='Summary &amp; Assumptions'!$C$23,'Summary &amp; Assumptions'!$E$31="Yes"),S58,0)</f>
        <v/>
      </c>
      <c r="T50" s="53">
        <f>IF(AND(15='Summary &amp; Assumptions'!$C$23,'Summary &amp; Assumptions'!$E$31="Yes"),T58,0)</f>
        <v/>
      </c>
      <c r="U50" s="1" t="n"/>
      <c r="V50" s="1" t="n"/>
    </row>
    <row r="51" hidden="1" outlineLevel="1">
      <c r="A51" s="1" t="n"/>
      <c r="B51" s="3" t="inlineStr">
        <is>
          <t xml:space="preserve">    Assumed Loan</t>
        </is>
      </c>
      <c r="C51" s="1" t="n"/>
      <c r="D51" s="1" t="n"/>
      <c r="E51" s="1" t="n"/>
      <c r="F51" s="53">
        <f>IF(AND(1='Summary &amp; Assumptions'!$C$23,'Summary &amp; Assumptions'!$F$31="Yes"),F59,0)</f>
        <v/>
      </c>
      <c r="G51" s="53">
        <f>IF(AND(2='Summary &amp; Assumptions'!$C$23,'Summary &amp; Assumptions'!$F$31="Yes"),G59,0)</f>
        <v/>
      </c>
      <c r="H51" s="53">
        <f>IF(AND(3='Summary &amp; Assumptions'!$C$23,'Summary &amp; Assumptions'!$F$31="Yes"),H59,0)</f>
        <v/>
      </c>
      <c r="I51" s="53">
        <f>IF(AND(4='Summary &amp; Assumptions'!$C$23,'Summary &amp; Assumptions'!$F$31="Yes"),I59,0)</f>
        <v/>
      </c>
      <c r="J51" s="53">
        <f>IF(AND(5='Summary &amp; Assumptions'!$C$23,'Summary &amp; Assumptions'!$F$31="Yes"),J59,0)</f>
        <v/>
      </c>
      <c r="K51" s="53">
        <f>IF(AND(6='Summary &amp; Assumptions'!$C$23,'Summary &amp; Assumptions'!$F$31="Yes"),K59,0)</f>
        <v/>
      </c>
      <c r="L51" s="53">
        <f>IF(AND(7='Summary &amp; Assumptions'!$C$23,'Summary &amp; Assumptions'!$F$31="Yes"),L59,0)</f>
        <v/>
      </c>
      <c r="M51" s="53">
        <f>IF(AND(8='Summary &amp; Assumptions'!$C$23,'Summary &amp; Assumptions'!$F$31="Yes"),M59,0)</f>
        <v/>
      </c>
      <c r="N51" s="53">
        <f>IF(AND(9='Summary &amp; Assumptions'!$C$23,'Summary &amp; Assumptions'!$F$31="Yes"),N59,0)</f>
        <v/>
      </c>
      <c r="O51" s="53">
        <f>IF(AND(10='Summary &amp; Assumptions'!$C$23,'Summary &amp; Assumptions'!$F$31="Yes"),O59,0)</f>
        <v/>
      </c>
      <c r="P51" s="53">
        <f>IF(AND(11='Summary &amp; Assumptions'!$C$23,'Summary &amp; Assumptions'!$F$31="Yes"),P59,0)</f>
        <v/>
      </c>
      <c r="Q51" s="53">
        <f>IF(AND(12='Summary &amp; Assumptions'!$C$23,'Summary &amp; Assumptions'!$F$31="Yes"),Q59,0)</f>
        <v/>
      </c>
      <c r="R51" s="53">
        <f>IF(AND(13='Summary &amp; Assumptions'!$C$23,'Summary &amp; Assumptions'!$F$31="Yes"),R59,0)</f>
        <v/>
      </c>
      <c r="S51" s="53">
        <f>IF(AND(14='Summary &amp; Assumptions'!$C$23,'Summary &amp; Assumptions'!$F$31="Yes"),S59,0)</f>
        <v/>
      </c>
      <c r="T51" s="53">
        <f>IF(AND(15='Summary &amp; Assumptions'!$C$23,'Summary &amp; Assumptions'!$F$31="Yes"),T59,0)</f>
        <v/>
      </c>
      <c r="U51" s="1" t="n"/>
      <c r="V51" s="1" t="n"/>
    </row>
    <row r="52" hidden="1" outlineLevel="1">
      <c r="A52" s="1" t="n"/>
      <c r="B52" s="3" t="inlineStr">
        <is>
          <t xml:space="preserve">    Custom 1</t>
        </is>
      </c>
      <c r="C52" s="1" t="n"/>
      <c r="D52" s="1" t="n"/>
      <c r="E52" s="1" t="n"/>
      <c r="F52" s="53">
        <f>IF(AND(1='Summary &amp; Assumptions'!$C$23,'Summary &amp; Assumptions'!$G$31="Yes"),F60,0)</f>
        <v/>
      </c>
      <c r="G52" s="53">
        <f>IF(AND(2='Summary &amp; Assumptions'!$C$23,'Summary &amp; Assumptions'!$G$31="Yes"),G60,0)</f>
        <v/>
      </c>
      <c r="H52" s="53">
        <f>IF(AND(3='Summary &amp; Assumptions'!$C$23,'Summary &amp; Assumptions'!$G$31="Yes"),H60,0)</f>
        <v/>
      </c>
      <c r="I52" s="53">
        <f>IF(AND(4='Summary &amp; Assumptions'!$C$23,'Summary &amp; Assumptions'!$G$31="Yes"),I60,0)</f>
        <v/>
      </c>
      <c r="J52" s="53">
        <f>IF(AND(5='Summary &amp; Assumptions'!$C$23,'Summary &amp; Assumptions'!$G$31="Yes"),J60,0)</f>
        <v/>
      </c>
      <c r="K52" s="53">
        <f>IF(AND(6='Summary &amp; Assumptions'!$C$23,'Summary &amp; Assumptions'!$G$31="Yes"),K60,0)</f>
        <v/>
      </c>
      <c r="L52" s="53">
        <f>IF(AND(7='Summary &amp; Assumptions'!$C$23,'Summary &amp; Assumptions'!$G$31="Yes"),L60,0)</f>
        <v/>
      </c>
      <c r="M52" s="53">
        <f>IF(AND(8='Summary &amp; Assumptions'!$C$23,'Summary &amp; Assumptions'!$G$31="Yes"),M60,0)</f>
        <v/>
      </c>
      <c r="N52" s="53">
        <f>IF(AND(9='Summary &amp; Assumptions'!$C$23,'Summary &amp; Assumptions'!$G$31="Yes"),N60,0)</f>
        <v/>
      </c>
      <c r="O52" s="53">
        <f>IF(AND(10='Summary &amp; Assumptions'!$C$23,'Summary &amp; Assumptions'!$G$31="Yes"),O60,0)</f>
        <v/>
      </c>
      <c r="P52" s="53">
        <f>IF(AND(11='Summary &amp; Assumptions'!$C$23,'Summary &amp; Assumptions'!$G$31="Yes"),P60,0)</f>
        <v/>
      </c>
      <c r="Q52" s="53">
        <f>IF(AND(12='Summary &amp; Assumptions'!$C$23,'Summary &amp; Assumptions'!$G$31="Yes"),Q60,0)</f>
        <v/>
      </c>
      <c r="R52" s="53">
        <f>IF(AND(13='Summary &amp; Assumptions'!$C$23,'Summary &amp; Assumptions'!$G$31="Yes"),R60,0)</f>
        <v/>
      </c>
      <c r="S52" s="53">
        <f>IF(AND(14='Summary &amp; Assumptions'!$C$23,'Summary &amp; Assumptions'!$G$31="Yes"),S60,0)</f>
        <v/>
      </c>
      <c r="T52" s="53">
        <f>IF(AND(15='Summary &amp; Assumptions'!$C$23,'Summary &amp; Assumptions'!$G$31="Yes"),T60,0)</f>
        <v/>
      </c>
      <c r="U52" s="1" t="n"/>
      <c r="V52" s="1" t="n"/>
    </row>
    <row r="53" hidden="1" outlineLevel="1">
      <c r="A53" s="1" t="n"/>
      <c r="B53" s="3" t="inlineStr">
        <is>
          <t xml:space="preserve">    Custom 2</t>
        </is>
      </c>
      <c r="C53" s="1" t="n"/>
      <c r="D53" s="1" t="n"/>
      <c r="E53" s="1" t="n"/>
      <c r="F53" s="53">
        <f>IF(AND(1='Summary &amp; Assumptions'!$C$23,'Summary &amp; Assumptions'!$H$31="Yes"),F61,0)</f>
        <v/>
      </c>
      <c r="G53" s="53">
        <f>IF(AND(2='Summary &amp; Assumptions'!$C$23,'Summary &amp; Assumptions'!$H$31="Yes"),G61,0)</f>
        <v/>
      </c>
      <c r="H53" s="53">
        <f>IF(AND(3='Summary &amp; Assumptions'!$C$23,'Summary &amp; Assumptions'!$H$31="Yes"),H61,0)</f>
        <v/>
      </c>
      <c r="I53" s="53">
        <f>IF(AND(4='Summary &amp; Assumptions'!$C$23,'Summary &amp; Assumptions'!$H$31="Yes"),I61,0)</f>
        <v/>
      </c>
      <c r="J53" s="53">
        <f>IF(AND(5='Summary &amp; Assumptions'!$C$23,'Summary &amp; Assumptions'!$H$31="Yes"),J61,0)</f>
        <v/>
      </c>
      <c r="K53" s="53">
        <f>IF(AND(6='Summary &amp; Assumptions'!$C$23,'Summary &amp; Assumptions'!$H$31="Yes"),K61,0)</f>
        <v/>
      </c>
      <c r="L53" s="53">
        <f>IF(AND(7='Summary &amp; Assumptions'!$C$23,'Summary &amp; Assumptions'!$H$31="Yes"),L61,0)</f>
        <v/>
      </c>
      <c r="M53" s="53">
        <f>IF(AND(8='Summary &amp; Assumptions'!$C$23,'Summary &amp; Assumptions'!$H$31="Yes"),M61,0)</f>
        <v/>
      </c>
      <c r="N53" s="53">
        <f>IF(AND(9='Summary &amp; Assumptions'!$C$23,'Summary &amp; Assumptions'!$H$31="Yes"),N61,0)</f>
        <v/>
      </c>
      <c r="O53" s="53">
        <f>IF(AND(10='Summary &amp; Assumptions'!$C$23,'Summary &amp; Assumptions'!$H$31="Yes"),O61,0)</f>
        <v/>
      </c>
      <c r="P53" s="53">
        <f>IF(AND(11='Summary &amp; Assumptions'!$C$23,'Summary &amp; Assumptions'!$H$31="Yes"),P61,0)</f>
        <v/>
      </c>
      <c r="Q53" s="53">
        <f>IF(AND(12='Summary &amp; Assumptions'!$C$23,'Summary &amp; Assumptions'!$H$31="Yes"),Q61,0)</f>
        <v/>
      </c>
      <c r="R53" s="53">
        <f>IF(AND(13='Summary &amp; Assumptions'!$C$23,'Summary &amp; Assumptions'!$H$31="Yes"),R61,0)</f>
        <v/>
      </c>
      <c r="S53" s="53">
        <f>IF(AND(14='Summary &amp; Assumptions'!$C$23,'Summary &amp; Assumptions'!$H$31="Yes"),S61,0)</f>
        <v/>
      </c>
      <c r="T53" s="53">
        <f>IF(AND(15='Summary &amp; Assumptions'!$C$23,'Summary &amp; Assumptions'!$H$31="Yes"),T61,0)</f>
        <v/>
      </c>
      <c r="U53" s="1" t="n"/>
      <c r="V53" s="1" t="n"/>
    </row>
    <row r="54" hidden="1" outlineLevel="1">
      <c r="A54" s="1" t="n"/>
      <c r="B54" s="3" t="inlineStr">
        <is>
          <t xml:space="preserve">    Reno Line of Credit</t>
        </is>
      </c>
      <c r="C54" s="1" t="n"/>
      <c r="D54" s="1" t="n"/>
      <c r="E54" s="1" t="n"/>
      <c r="F54" s="53" t="n">
        <v>0</v>
      </c>
      <c r="G54" s="53" t="n">
        <v>0</v>
      </c>
      <c r="H54" s="53" t="n">
        <v>0</v>
      </c>
      <c r="I54" s="53" t="n">
        <v>0</v>
      </c>
      <c r="J54" s="53" t="n">
        <v>0</v>
      </c>
      <c r="K54" s="53" t="n">
        <v>0</v>
      </c>
      <c r="L54" s="53" t="n">
        <v>0</v>
      </c>
      <c r="M54" s="53" t="n">
        <v>0</v>
      </c>
      <c r="N54" s="53" t="n">
        <v>0</v>
      </c>
      <c r="O54" s="53" t="n">
        <v>0</v>
      </c>
      <c r="P54" s="53" t="n">
        <v>0</v>
      </c>
      <c r="Q54" s="53" t="n">
        <v>0</v>
      </c>
      <c r="R54" s="53" t="n">
        <v>0</v>
      </c>
      <c r="S54" s="53" t="n">
        <v>0</v>
      </c>
      <c r="T54" s="53" t="n">
        <v>0</v>
      </c>
      <c r="U54" s="1" t="n"/>
      <c r="V54" s="1" t="n"/>
    </row>
    <row r="55">
      <c r="A55" s="1" t="n"/>
      <c r="B55" s="17" t="inlineStr">
        <is>
          <t>Balance (EOY)</t>
        </is>
      </c>
      <c r="C55" s="1" t="n"/>
      <c r="D55" s="1" t="n"/>
      <c r="E55" s="1" t="n"/>
      <c r="F55" s="38">
        <f>SUM(F56:F62)</f>
        <v/>
      </c>
      <c r="G55" s="38">
        <f>SUM(G56:G62)</f>
        <v/>
      </c>
      <c r="H55" s="38">
        <f>SUM(H56:H62)</f>
        <v/>
      </c>
      <c r="I55" s="38">
        <f>SUM(I56:I62)</f>
        <v/>
      </c>
      <c r="J55" s="38">
        <f>SUM(J56:J62)</f>
        <v/>
      </c>
      <c r="K55" s="38">
        <f>SUM(K56:K62)</f>
        <v/>
      </c>
      <c r="L55" s="38">
        <f>SUM(L56:L62)</f>
        <v/>
      </c>
      <c r="M55" s="38">
        <f>SUM(M56:M62)</f>
        <v/>
      </c>
      <c r="N55" s="38">
        <f>SUM(N56:N62)</f>
        <v/>
      </c>
      <c r="O55" s="38">
        <f>SUM(O56:O62)</f>
        <v/>
      </c>
      <c r="P55" s="38">
        <f>SUM(P56:P62)</f>
        <v/>
      </c>
      <c r="Q55" s="38">
        <f>SUM(Q56:Q62)</f>
        <v/>
      </c>
      <c r="R55" s="38">
        <f>SUM(R56:R62)</f>
        <v/>
      </c>
      <c r="S55" s="38">
        <f>SUM(S56:S62)</f>
        <v/>
      </c>
      <c r="T55" s="38">
        <f>SUM(T56:T62)</f>
        <v/>
      </c>
      <c r="U55" s="1" t="n"/>
      <c r="V55" s="1" t="n"/>
    </row>
    <row r="56" hidden="1" outlineLevel="1">
      <c r="A56" s="1" t="n"/>
      <c r="B56" s="3" t="inlineStr">
        <is>
          <t xml:space="preserve">    Senior</t>
        </is>
      </c>
      <c r="C56" s="1" t="n"/>
      <c r="D56" s="1" t="n"/>
      <c r="E56" s="1" t="n"/>
      <c r="F56" s="53">
        <f>IFERROR(IF(AND('Summary &amp; Assumptions'!$C$31="Yes",1&lt;='Summary &amp; Assumptions'!$C$23,'Summary &amp; Assumptions'!$C$34&gt;0),IF(1&lt;='Summary &amp; Assumptions'!$C$47,'Summary &amp; Assumptions'!$C$34,MAX(0,-FV('Summary &amp; Assumptions'!$C$40/12,MAX(0,(1-'Summary &amp; Assumptions'!$C$47)*12),PMT('Summary &amp; Assumptions'!$C$40/12,'Summary &amp; Assumptions'!$C$48*12,'Summary &amp; Assumptions'!$C$34),'Summary &amp; Assumptions'!$C$34))),0),0)</f>
        <v/>
      </c>
      <c r="G56" s="53">
        <f>IFERROR(IF(AND('Summary &amp; Assumptions'!$C$31="Yes",2&lt;='Summary &amp; Assumptions'!$C$23,'Summary &amp; Assumptions'!$C$34&gt;0),IF(2&lt;='Summary &amp; Assumptions'!$C$47,'Summary &amp; Assumptions'!$C$34,MAX(0,-FV('Summary &amp; Assumptions'!$C$40/12,MAX(0,(2-'Summary &amp; Assumptions'!$C$47)*12),PMT('Summary &amp; Assumptions'!$C$40/12,'Summary &amp; Assumptions'!$C$48*12,'Summary &amp; Assumptions'!$C$34),'Summary &amp; Assumptions'!$C$34))),0),0)</f>
        <v/>
      </c>
      <c r="H56" s="53">
        <f>IFERROR(IF(AND('Summary &amp; Assumptions'!$C$31="Yes",3&lt;='Summary &amp; Assumptions'!$C$23,'Summary &amp; Assumptions'!$C$34&gt;0),IF(3&lt;='Summary &amp; Assumptions'!$C$47,'Summary &amp; Assumptions'!$C$34,MAX(0,-FV('Summary &amp; Assumptions'!$C$40/12,MAX(0,(3-'Summary &amp; Assumptions'!$C$47)*12),PMT('Summary &amp; Assumptions'!$C$40/12,'Summary &amp; Assumptions'!$C$48*12,'Summary &amp; Assumptions'!$C$34),'Summary &amp; Assumptions'!$C$34))),0),0)</f>
        <v/>
      </c>
      <c r="I56" s="53">
        <f>IFERROR(IF(AND('Summary &amp; Assumptions'!$C$31="Yes",4&lt;='Summary &amp; Assumptions'!$C$23,'Summary &amp; Assumptions'!$C$34&gt;0),IF(4&lt;='Summary &amp; Assumptions'!$C$47,'Summary &amp; Assumptions'!$C$34,MAX(0,-FV('Summary &amp; Assumptions'!$C$40/12,MAX(0,(4-'Summary &amp; Assumptions'!$C$47)*12),PMT('Summary &amp; Assumptions'!$C$40/12,'Summary &amp; Assumptions'!$C$48*12,'Summary &amp; Assumptions'!$C$34),'Summary &amp; Assumptions'!$C$34))),0),0)</f>
        <v/>
      </c>
      <c r="J56" s="53">
        <f>IFERROR(IF(AND('Summary &amp; Assumptions'!$C$31="Yes",5&lt;='Summary &amp; Assumptions'!$C$23,'Summary &amp; Assumptions'!$C$34&gt;0),IF(5&lt;='Summary &amp; Assumptions'!$C$47,'Summary &amp; Assumptions'!$C$34,MAX(0,-FV('Summary &amp; Assumptions'!$C$40/12,MAX(0,(5-'Summary &amp; Assumptions'!$C$47)*12),PMT('Summary &amp; Assumptions'!$C$40/12,'Summary &amp; Assumptions'!$C$48*12,'Summary &amp; Assumptions'!$C$34),'Summary &amp; Assumptions'!$C$34))),0),0)</f>
        <v/>
      </c>
      <c r="K56" s="53">
        <f>IFERROR(IF(AND('Summary &amp; Assumptions'!$C$31="Yes",6&lt;='Summary &amp; Assumptions'!$C$23,'Summary &amp; Assumptions'!$C$34&gt;0),IF(6&lt;='Summary &amp; Assumptions'!$C$47,'Summary &amp; Assumptions'!$C$34,MAX(0,-FV('Summary &amp; Assumptions'!$C$40/12,MAX(0,(6-'Summary &amp; Assumptions'!$C$47)*12),PMT('Summary &amp; Assumptions'!$C$40/12,'Summary &amp; Assumptions'!$C$48*12,'Summary &amp; Assumptions'!$C$34),'Summary &amp; Assumptions'!$C$34))),0),0)</f>
        <v/>
      </c>
      <c r="L56" s="53">
        <f>IFERROR(IF(AND('Summary &amp; Assumptions'!$C$31="Yes",7&lt;='Summary &amp; Assumptions'!$C$23,'Summary &amp; Assumptions'!$C$34&gt;0),IF(7&lt;='Summary &amp; Assumptions'!$C$47,'Summary &amp; Assumptions'!$C$34,MAX(0,-FV('Summary &amp; Assumptions'!$C$40/12,MAX(0,(7-'Summary &amp; Assumptions'!$C$47)*12),PMT('Summary &amp; Assumptions'!$C$40/12,'Summary &amp; Assumptions'!$C$48*12,'Summary &amp; Assumptions'!$C$34),'Summary &amp; Assumptions'!$C$34))),0),0)</f>
        <v/>
      </c>
      <c r="M56" s="53">
        <f>IFERROR(IF(AND('Summary &amp; Assumptions'!$C$31="Yes",8&lt;='Summary &amp; Assumptions'!$C$23,'Summary &amp; Assumptions'!$C$34&gt;0),IF(8&lt;='Summary &amp; Assumptions'!$C$47,'Summary &amp; Assumptions'!$C$34,MAX(0,-FV('Summary &amp; Assumptions'!$C$40/12,MAX(0,(8-'Summary &amp; Assumptions'!$C$47)*12),PMT('Summary &amp; Assumptions'!$C$40/12,'Summary &amp; Assumptions'!$C$48*12,'Summary &amp; Assumptions'!$C$34),'Summary &amp; Assumptions'!$C$34))),0),0)</f>
        <v/>
      </c>
      <c r="N56" s="53">
        <f>IFERROR(IF(AND('Summary &amp; Assumptions'!$C$31="Yes",9&lt;='Summary &amp; Assumptions'!$C$23,'Summary &amp; Assumptions'!$C$34&gt;0),IF(9&lt;='Summary &amp; Assumptions'!$C$47,'Summary &amp; Assumptions'!$C$34,MAX(0,-FV('Summary &amp; Assumptions'!$C$40/12,MAX(0,(9-'Summary &amp; Assumptions'!$C$47)*12),PMT('Summary &amp; Assumptions'!$C$40/12,'Summary &amp; Assumptions'!$C$48*12,'Summary &amp; Assumptions'!$C$34),'Summary &amp; Assumptions'!$C$34))),0),0)</f>
        <v/>
      </c>
      <c r="O56" s="53">
        <f>IFERROR(IF(AND('Summary &amp; Assumptions'!$C$31="Yes",10&lt;='Summary &amp; Assumptions'!$C$23,'Summary &amp; Assumptions'!$C$34&gt;0),IF(10&lt;='Summary &amp; Assumptions'!$C$47,'Summary &amp; Assumptions'!$C$34,MAX(0,-FV('Summary &amp; Assumptions'!$C$40/12,MAX(0,(10-'Summary &amp; Assumptions'!$C$47)*12),PMT('Summary &amp; Assumptions'!$C$40/12,'Summary &amp; Assumptions'!$C$48*12,'Summary &amp; Assumptions'!$C$34),'Summary &amp; Assumptions'!$C$34))),0),0)</f>
        <v/>
      </c>
      <c r="P56" s="53">
        <f>IFERROR(IF(AND('Summary &amp; Assumptions'!$C$31="Yes",11&lt;='Summary &amp; Assumptions'!$C$23,'Summary &amp; Assumptions'!$C$34&gt;0),IF(11&lt;='Summary &amp; Assumptions'!$C$47,'Summary &amp; Assumptions'!$C$34,MAX(0,-FV('Summary &amp; Assumptions'!$C$40/12,MAX(0,(11-'Summary &amp; Assumptions'!$C$47)*12),PMT('Summary &amp; Assumptions'!$C$40/12,'Summary &amp; Assumptions'!$C$48*12,'Summary &amp; Assumptions'!$C$34),'Summary &amp; Assumptions'!$C$34))),0),0)</f>
        <v/>
      </c>
      <c r="Q56" s="53">
        <f>IFERROR(IF(AND('Summary &amp; Assumptions'!$C$31="Yes",12&lt;='Summary &amp; Assumptions'!$C$23,'Summary &amp; Assumptions'!$C$34&gt;0),IF(12&lt;='Summary &amp; Assumptions'!$C$47,'Summary &amp; Assumptions'!$C$34,MAX(0,-FV('Summary &amp; Assumptions'!$C$40/12,MAX(0,(12-'Summary &amp; Assumptions'!$C$47)*12),PMT('Summary &amp; Assumptions'!$C$40/12,'Summary &amp; Assumptions'!$C$48*12,'Summary &amp; Assumptions'!$C$34),'Summary &amp; Assumptions'!$C$34))),0),0)</f>
        <v/>
      </c>
      <c r="R56" s="53">
        <f>IFERROR(IF(AND('Summary &amp; Assumptions'!$C$31="Yes",13&lt;='Summary &amp; Assumptions'!$C$23,'Summary &amp; Assumptions'!$C$34&gt;0),IF(13&lt;='Summary &amp; Assumptions'!$C$47,'Summary &amp; Assumptions'!$C$34,MAX(0,-FV('Summary &amp; Assumptions'!$C$40/12,MAX(0,(13-'Summary &amp; Assumptions'!$C$47)*12),PMT('Summary &amp; Assumptions'!$C$40/12,'Summary &amp; Assumptions'!$C$48*12,'Summary &amp; Assumptions'!$C$34),'Summary &amp; Assumptions'!$C$34))),0),0)</f>
        <v/>
      </c>
      <c r="S56" s="53">
        <f>IFERROR(IF(AND('Summary &amp; Assumptions'!$C$31="Yes",14&lt;='Summary &amp; Assumptions'!$C$23,'Summary &amp; Assumptions'!$C$34&gt;0),IF(14&lt;='Summary &amp; Assumptions'!$C$47,'Summary &amp; Assumptions'!$C$34,MAX(0,-FV('Summary &amp; Assumptions'!$C$40/12,MAX(0,(14-'Summary &amp; Assumptions'!$C$47)*12),PMT('Summary &amp; Assumptions'!$C$40/12,'Summary &amp; Assumptions'!$C$48*12,'Summary &amp; Assumptions'!$C$34),'Summary &amp; Assumptions'!$C$34))),0),0)</f>
        <v/>
      </c>
      <c r="T56" s="53">
        <f>IFERROR(IF(AND('Summary &amp; Assumptions'!$C$31="Yes",15&lt;='Summary &amp; Assumptions'!$C$23,'Summary &amp; Assumptions'!$C$34&gt;0),IF(15&lt;='Summary &amp; Assumptions'!$C$47,'Summary &amp; Assumptions'!$C$34,MAX(0,-FV('Summary &amp; Assumptions'!$C$40/12,MAX(0,(15-'Summary &amp; Assumptions'!$C$47)*12),PMT('Summary &amp; Assumptions'!$C$40/12,'Summary &amp; Assumptions'!$C$48*12,'Summary &amp; Assumptions'!$C$34),'Summary &amp; Assumptions'!$C$34))),0),0)</f>
        <v/>
      </c>
      <c r="U56" s="1" t="n"/>
      <c r="V56" s="1" t="n"/>
    </row>
    <row r="57" hidden="1" outlineLevel="1">
      <c r="A57" s="1" t="n"/>
      <c r="B57" s="3" t="inlineStr">
        <is>
          <t xml:space="preserve">    Mezz</t>
        </is>
      </c>
      <c r="C57" s="1" t="n"/>
      <c r="D57" s="1" t="n"/>
      <c r="E57" s="1" t="n"/>
      <c r="F57" s="53">
        <f>IFERROR(IF(AND('Summary &amp; Assumptions'!$D$31="Yes",1&lt;='Summary &amp; Assumptions'!$C$23,'Summary &amp; Assumptions'!$D$34&gt;0),IF(1&lt;='Summary &amp; Assumptions'!$D$47,'Summary &amp; Assumptions'!$D$34,MAX(0,-FV('Summary &amp; Assumptions'!$D$40/12,MAX(0,(1-'Summary &amp; Assumptions'!$D$47)*12),PMT('Summary &amp; Assumptions'!$D$40/12,'Summary &amp; Assumptions'!$D$48*12,'Summary &amp; Assumptions'!$D$34),'Summary &amp; Assumptions'!$D$34))),0),0)</f>
        <v/>
      </c>
      <c r="G57" s="53">
        <f>IFERROR(IF(AND('Summary &amp; Assumptions'!$D$31="Yes",2&lt;='Summary &amp; Assumptions'!$C$23,'Summary &amp; Assumptions'!$D$34&gt;0),IF(2&lt;='Summary &amp; Assumptions'!$D$47,'Summary &amp; Assumptions'!$D$34,MAX(0,-FV('Summary &amp; Assumptions'!$D$40/12,MAX(0,(2-'Summary &amp; Assumptions'!$D$47)*12),PMT('Summary &amp; Assumptions'!$D$40/12,'Summary &amp; Assumptions'!$D$48*12,'Summary &amp; Assumptions'!$D$34),'Summary &amp; Assumptions'!$D$34))),0),0)</f>
        <v/>
      </c>
      <c r="H57" s="53">
        <f>IFERROR(IF(AND('Summary &amp; Assumptions'!$D$31="Yes",3&lt;='Summary &amp; Assumptions'!$C$23,'Summary &amp; Assumptions'!$D$34&gt;0),IF(3&lt;='Summary &amp; Assumptions'!$D$47,'Summary &amp; Assumptions'!$D$34,MAX(0,-FV('Summary &amp; Assumptions'!$D$40/12,MAX(0,(3-'Summary &amp; Assumptions'!$D$47)*12),PMT('Summary &amp; Assumptions'!$D$40/12,'Summary &amp; Assumptions'!$D$48*12,'Summary &amp; Assumptions'!$D$34),'Summary &amp; Assumptions'!$D$34))),0),0)</f>
        <v/>
      </c>
      <c r="I57" s="53">
        <f>IFERROR(IF(AND('Summary &amp; Assumptions'!$D$31="Yes",4&lt;='Summary &amp; Assumptions'!$C$23,'Summary &amp; Assumptions'!$D$34&gt;0),IF(4&lt;='Summary &amp; Assumptions'!$D$47,'Summary &amp; Assumptions'!$D$34,MAX(0,-FV('Summary &amp; Assumptions'!$D$40/12,MAX(0,(4-'Summary &amp; Assumptions'!$D$47)*12),PMT('Summary &amp; Assumptions'!$D$40/12,'Summary &amp; Assumptions'!$D$48*12,'Summary &amp; Assumptions'!$D$34),'Summary &amp; Assumptions'!$D$34))),0),0)</f>
        <v/>
      </c>
      <c r="J57" s="53">
        <f>IFERROR(IF(AND('Summary &amp; Assumptions'!$D$31="Yes",5&lt;='Summary &amp; Assumptions'!$C$23,'Summary &amp; Assumptions'!$D$34&gt;0),IF(5&lt;='Summary &amp; Assumptions'!$D$47,'Summary &amp; Assumptions'!$D$34,MAX(0,-FV('Summary &amp; Assumptions'!$D$40/12,MAX(0,(5-'Summary &amp; Assumptions'!$D$47)*12),PMT('Summary &amp; Assumptions'!$D$40/12,'Summary &amp; Assumptions'!$D$48*12,'Summary &amp; Assumptions'!$D$34),'Summary &amp; Assumptions'!$D$34))),0),0)</f>
        <v/>
      </c>
      <c r="K57" s="53">
        <f>IFERROR(IF(AND('Summary &amp; Assumptions'!$D$31="Yes",6&lt;='Summary &amp; Assumptions'!$C$23,'Summary &amp; Assumptions'!$D$34&gt;0),IF(6&lt;='Summary &amp; Assumptions'!$D$47,'Summary &amp; Assumptions'!$D$34,MAX(0,-FV('Summary &amp; Assumptions'!$D$40/12,MAX(0,(6-'Summary &amp; Assumptions'!$D$47)*12),PMT('Summary &amp; Assumptions'!$D$40/12,'Summary &amp; Assumptions'!$D$48*12,'Summary &amp; Assumptions'!$D$34),'Summary &amp; Assumptions'!$D$34))),0),0)</f>
        <v/>
      </c>
      <c r="L57" s="53">
        <f>IFERROR(IF(AND('Summary &amp; Assumptions'!$D$31="Yes",7&lt;='Summary &amp; Assumptions'!$C$23,'Summary &amp; Assumptions'!$D$34&gt;0),IF(7&lt;='Summary &amp; Assumptions'!$D$47,'Summary &amp; Assumptions'!$D$34,MAX(0,-FV('Summary &amp; Assumptions'!$D$40/12,MAX(0,(7-'Summary &amp; Assumptions'!$D$47)*12),PMT('Summary &amp; Assumptions'!$D$40/12,'Summary &amp; Assumptions'!$D$48*12,'Summary &amp; Assumptions'!$D$34),'Summary &amp; Assumptions'!$D$34))),0),0)</f>
        <v/>
      </c>
      <c r="M57" s="53">
        <f>IFERROR(IF(AND('Summary &amp; Assumptions'!$D$31="Yes",8&lt;='Summary &amp; Assumptions'!$C$23,'Summary &amp; Assumptions'!$D$34&gt;0),IF(8&lt;='Summary &amp; Assumptions'!$D$47,'Summary &amp; Assumptions'!$D$34,MAX(0,-FV('Summary &amp; Assumptions'!$D$40/12,MAX(0,(8-'Summary &amp; Assumptions'!$D$47)*12),PMT('Summary &amp; Assumptions'!$D$40/12,'Summary &amp; Assumptions'!$D$48*12,'Summary &amp; Assumptions'!$D$34),'Summary &amp; Assumptions'!$D$34))),0),0)</f>
        <v/>
      </c>
      <c r="N57" s="53">
        <f>IFERROR(IF(AND('Summary &amp; Assumptions'!$D$31="Yes",9&lt;='Summary &amp; Assumptions'!$C$23,'Summary &amp; Assumptions'!$D$34&gt;0),IF(9&lt;='Summary &amp; Assumptions'!$D$47,'Summary &amp; Assumptions'!$D$34,MAX(0,-FV('Summary &amp; Assumptions'!$D$40/12,MAX(0,(9-'Summary &amp; Assumptions'!$D$47)*12),PMT('Summary &amp; Assumptions'!$D$40/12,'Summary &amp; Assumptions'!$D$48*12,'Summary &amp; Assumptions'!$D$34),'Summary &amp; Assumptions'!$D$34))),0),0)</f>
        <v/>
      </c>
      <c r="O57" s="53">
        <f>IFERROR(IF(AND('Summary &amp; Assumptions'!$D$31="Yes",10&lt;='Summary &amp; Assumptions'!$C$23,'Summary &amp; Assumptions'!$D$34&gt;0),IF(10&lt;='Summary &amp; Assumptions'!$D$47,'Summary &amp; Assumptions'!$D$34,MAX(0,-FV('Summary &amp; Assumptions'!$D$40/12,MAX(0,(10-'Summary &amp; Assumptions'!$D$47)*12),PMT('Summary &amp; Assumptions'!$D$40/12,'Summary &amp; Assumptions'!$D$48*12,'Summary &amp; Assumptions'!$D$34),'Summary &amp; Assumptions'!$D$34))),0),0)</f>
        <v/>
      </c>
      <c r="P57" s="53">
        <f>IFERROR(IF(AND('Summary &amp; Assumptions'!$D$31="Yes",11&lt;='Summary &amp; Assumptions'!$C$23,'Summary &amp; Assumptions'!$D$34&gt;0),IF(11&lt;='Summary &amp; Assumptions'!$D$47,'Summary &amp; Assumptions'!$D$34,MAX(0,-FV('Summary &amp; Assumptions'!$D$40/12,MAX(0,(11-'Summary &amp; Assumptions'!$D$47)*12),PMT('Summary &amp; Assumptions'!$D$40/12,'Summary &amp; Assumptions'!$D$48*12,'Summary &amp; Assumptions'!$D$34),'Summary &amp; Assumptions'!$D$34))),0),0)</f>
        <v/>
      </c>
      <c r="Q57" s="53">
        <f>IFERROR(IF(AND('Summary &amp; Assumptions'!$D$31="Yes",12&lt;='Summary &amp; Assumptions'!$C$23,'Summary &amp; Assumptions'!$D$34&gt;0),IF(12&lt;='Summary &amp; Assumptions'!$D$47,'Summary &amp; Assumptions'!$D$34,MAX(0,-FV('Summary &amp; Assumptions'!$D$40/12,MAX(0,(12-'Summary &amp; Assumptions'!$D$47)*12),PMT('Summary &amp; Assumptions'!$D$40/12,'Summary &amp; Assumptions'!$D$48*12,'Summary &amp; Assumptions'!$D$34),'Summary &amp; Assumptions'!$D$34))),0),0)</f>
        <v/>
      </c>
      <c r="R57" s="53">
        <f>IFERROR(IF(AND('Summary &amp; Assumptions'!$D$31="Yes",13&lt;='Summary &amp; Assumptions'!$C$23,'Summary &amp; Assumptions'!$D$34&gt;0),IF(13&lt;='Summary &amp; Assumptions'!$D$47,'Summary &amp; Assumptions'!$D$34,MAX(0,-FV('Summary &amp; Assumptions'!$D$40/12,MAX(0,(13-'Summary &amp; Assumptions'!$D$47)*12),PMT('Summary &amp; Assumptions'!$D$40/12,'Summary &amp; Assumptions'!$D$48*12,'Summary &amp; Assumptions'!$D$34),'Summary &amp; Assumptions'!$D$34))),0),0)</f>
        <v/>
      </c>
      <c r="S57" s="53">
        <f>IFERROR(IF(AND('Summary &amp; Assumptions'!$D$31="Yes",14&lt;='Summary &amp; Assumptions'!$C$23,'Summary &amp; Assumptions'!$D$34&gt;0),IF(14&lt;='Summary &amp; Assumptions'!$D$47,'Summary &amp; Assumptions'!$D$34,MAX(0,-FV('Summary &amp; Assumptions'!$D$40/12,MAX(0,(14-'Summary &amp; Assumptions'!$D$47)*12),PMT('Summary &amp; Assumptions'!$D$40/12,'Summary &amp; Assumptions'!$D$48*12,'Summary &amp; Assumptions'!$D$34),'Summary &amp; Assumptions'!$D$34))),0),0)</f>
        <v/>
      </c>
      <c r="T57" s="53">
        <f>IFERROR(IF(AND('Summary &amp; Assumptions'!$D$31="Yes",15&lt;='Summary &amp; Assumptions'!$C$23,'Summary &amp; Assumptions'!$D$34&gt;0),IF(15&lt;='Summary &amp; Assumptions'!$D$47,'Summary &amp; Assumptions'!$D$34,MAX(0,-FV('Summary &amp; Assumptions'!$D$40/12,MAX(0,(15-'Summary &amp; Assumptions'!$D$47)*12),PMT('Summary &amp; Assumptions'!$D$40/12,'Summary &amp; Assumptions'!$D$48*12,'Summary &amp; Assumptions'!$D$34),'Summary &amp; Assumptions'!$D$34))),0),0)</f>
        <v/>
      </c>
      <c r="U57" s="1" t="n"/>
      <c r="V57" s="1" t="n"/>
    </row>
    <row r="58" hidden="1" outlineLevel="1">
      <c r="A58" s="1" t="n"/>
      <c r="B58" s="3" t="inlineStr">
        <is>
          <t xml:space="preserve">    Refi</t>
        </is>
      </c>
      <c r="C58" s="1" t="n"/>
      <c r="D58" s="1" t="n"/>
      <c r="E58" s="1" t="n"/>
      <c r="F58" s="53">
        <f>IFERROR(IF(AND('Summary &amp; Assumptions'!$E$31="Yes",1&lt;='Summary &amp; Assumptions'!$C$23,'Summary &amp; Assumptions'!$E$34&gt;0),IF(1&lt;='Summary &amp; Assumptions'!$E$47,'Summary &amp; Assumptions'!$E$34,MAX(0,-FV('Summary &amp; Assumptions'!$E$40/12,MAX(0,(1-'Summary &amp; Assumptions'!$E$47)*12),PMT('Summary &amp; Assumptions'!$E$40/12,'Summary &amp; Assumptions'!$E$48*12,'Summary &amp; Assumptions'!$E$34),'Summary &amp; Assumptions'!$E$34))),0),0)</f>
        <v/>
      </c>
      <c r="G58" s="53">
        <f>IFERROR(IF(AND('Summary &amp; Assumptions'!$E$31="Yes",2&lt;='Summary &amp; Assumptions'!$C$23,'Summary &amp; Assumptions'!$E$34&gt;0),IF(2&lt;='Summary &amp; Assumptions'!$E$47,'Summary &amp; Assumptions'!$E$34,MAX(0,-FV('Summary &amp; Assumptions'!$E$40/12,MAX(0,(2-'Summary &amp; Assumptions'!$E$47)*12),PMT('Summary &amp; Assumptions'!$E$40/12,'Summary &amp; Assumptions'!$E$48*12,'Summary &amp; Assumptions'!$E$34),'Summary &amp; Assumptions'!$E$34))),0),0)</f>
        <v/>
      </c>
      <c r="H58" s="53">
        <f>IFERROR(IF(AND('Summary &amp; Assumptions'!$E$31="Yes",3&lt;='Summary &amp; Assumptions'!$C$23,'Summary &amp; Assumptions'!$E$34&gt;0),IF(3&lt;='Summary &amp; Assumptions'!$E$47,'Summary &amp; Assumptions'!$E$34,MAX(0,-FV('Summary &amp; Assumptions'!$E$40/12,MAX(0,(3-'Summary &amp; Assumptions'!$E$47)*12),PMT('Summary &amp; Assumptions'!$E$40/12,'Summary &amp; Assumptions'!$E$48*12,'Summary &amp; Assumptions'!$E$34),'Summary &amp; Assumptions'!$E$34))),0),0)</f>
        <v/>
      </c>
      <c r="I58" s="53">
        <f>IFERROR(IF(AND('Summary &amp; Assumptions'!$E$31="Yes",4&lt;='Summary &amp; Assumptions'!$C$23,'Summary &amp; Assumptions'!$E$34&gt;0),IF(4&lt;='Summary &amp; Assumptions'!$E$47,'Summary &amp; Assumptions'!$E$34,MAX(0,-FV('Summary &amp; Assumptions'!$E$40/12,MAX(0,(4-'Summary &amp; Assumptions'!$E$47)*12),PMT('Summary &amp; Assumptions'!$E$40/12,'Summary &amp; Assumptions'!$E$48*12,'Summary &amp; Assumptions'!$E$34),'Summary &amp; Assumptions'!$E$34))),0),0)</f>
        <v/>
      </c>
      <c r="J58" s="53">
        <f>IFERROR(IF(AND('Summary &amp; Assumptions'!$E$31="Yes",5&lt;='Summary &amp; Assumptions'!$C$23,'Summary &amp; Assumptions'!$E$34&gt;0),IF(5&lt;='Summary &amp; Assumptions'!$E$47,'Summary &amp; Assumptions'!$E$34,MAX(0,-FV('Summary &amp; Assumptions'!$E$40/12,MAX(0,(5-'Summary &amp; Assumptions'!$E$47)*12),PMT('Summary &amp; Assumptions'!$E$40/12,'Summary &amp; Assumptions'!$E$48*12,'Summary &amp; Assumptions'!$E$34),'Summary &amp; Assumptions'!$E$34))),0),0)</f>
        <v/>
      </c>
      <c r="K58" s="53">
        <f>IFERROR(IF(AND('Summary &amp; Assumptions'!$E$31="Yes",6&lt;='Summary &amp; Assumptions'!$C$23,'Summary &amp; Assumptions'!$E$34&gt;0),IF(6&lt;='Summary &amp; Assumptions'!$E$47,'Summary &amp; Assumptions'!$E$34,MAX(0,-FV('Summary &amp; Assumptions'!$E$40/12,MAX(0,(6-'Summary &amp; Assumptions'!$E$47)*12),PMT('Summary &amp; Assumptions'!$E$40/12,'Summary &amp; Assumptions'!$E$48*12,'Summary &amp; Assumptions'!$E$34),'Summary &amp; Assumptions'!$E$34))),0),0)</f>
        <v/>
      </c>
      <c r="L58" s="53">
        <f>IFERROR(IF(AND('Summary &amp; Assumptions'!$E$31="Yes",7&lt;='Summary &amp; Assumptions'!$C$23,'Summary &amp; Assumptions'!$E$34&gt;0),IF(7&lt;='Summary &amp; Assumptions'!$E$47,'Summary &amp; Assumptions'!$E$34,MAX(0,-FV('Summary &amp; Assumptions'!$E$40/12,MAX(0,(7-'Summary &amp; Assumptions'!$E$47)*12),PMT('Summary &amp; Assumptions'!$E$40/12,'Summary &amp; Assumptions'!$E$48*12,'Summary &amp; Assumptions'!$E$34),'Summary &amp; Assumptions'!$E$34))),0),0)</f>
        <v/>
      </c>
      <c r="M58" s="53">
        <f>IFERROR(IF(AND('Summary &amp; Assumptions'!$E$31="Yes",8&lt;='Summary &amp; Assumptions'!$C$23,'Summary &amp; Assumptions'!$E$34&gt;0),IF(8&lt;='Summary &amp; Assumptions'!$E$47,'Summary &amp; Assumptions'!$E$34,MAX(0,-FV('Summary &amp; Assumptions'!$E$40/12,MAX(0,(8-'Summary &amp; Assumptions'!$E$47)*12),PMT('Summary &amp; Assumptions'!$E$40/12,'Summary &amp; Assumptions'!$E$48*12,'Summary &amp; Assumptions'!$E$34),'Summary &amp; Assumptions'!$E$34))),0),0)</f>
        <v/>
      </c>
      <c r="N58" s="53">
        <f>IFERROR(IF(AND('Summary &amp; Assumptions'!$E$31="Yes",9&lt;='Summary &amp; Assumptions'!$C$23,'Summary &amp; Assumptions'!$E$34&gt;0),IF(9&lt;='Summary &amp; Assumptions'!$E$47,'Summary &amp; Assumptions'!$E$34,MAX(0,-FV('Summary &amp; Assumptions'!$E$40/12,MAX(0,(9-'Summary &amp; Assumptions'!$E$47)*12),PMT('Summary &amp; Assumptions'!$E$40/12,'Summary &amp; Assumptions'!$E$48*12,'Summary &amp; Assumptions'!$E$34),'Summary &amp; Assumptions'!$E$34))),0),0)</f>
        <v/>
      </c>
      <c r="O58" s="53">
        <f>IFERROR(IF(AND('Summary &amp; Assumptions'!$E$31="Yes",10&lt;='Summary &amp; Assumptions'!$C$23,'Summary &amp; Assumptions'!$E$34&gt;0),IF(10&lt;='Summary &amp; Assumptions'!$E$47,'Summary &amp; Assumptions'!$E$34,MAX(0,-FV('Summary &amp; Assumptions'!$E$40/12,MAX(0,(10-'Summary &amp; Assumptions'!$E$47)*12),PMT('Summary &amp; Assumptions'!$E$40/12,'Summary &amp; Assumptions'!$E$48*12,'Summary &amp; Assumptions'!$E$34),'Summary &amp; Assumptions'!$E$34))),0),0)</f>
        <v/>
      </c>
      <c r="P58" s="53">
        <f>IFERROR(IF(AND('Summary &amp; Assumptions'!$E$31="Yes",11&lt;='Summary &amp; Assumptions'!$C$23,'Summary &amp; Assumptions'!$E$34&gt;0),IF(11&lt;='Summary &amp; Assumptions'!$E$47,'Summary &amp; Assumptions'!$E$34,MAX(0,-FV('Summary &amp; Assumptions'!$E$40/12,MAX(0,(11-'Summary &amp; Assumptions'!$E$47)*12),PMT('Summary &amp; Assumptions'!$E$40/12,'Summary &amp; Assumptions'!$E$48*12,'Summary &amp; Assumptions'!$E$34),'Summary &amp; Assumptions'!$E$34))),0),0)</f>
        <v/>
      </c>
      <c r="Q58" s="53">
        <f>IFERROR(IF(AND('Summary &amp; Assumptions'!$E$31="Yes",12&lt;='Summary &amp; Assumptions'!$C$23,'Summary &amp; Assumptions'!$E$34&gt;0),IF(12&lt;='Summary &amp; Assumptions'!$E$47,'Summary &amp; Assumptions'!$E$34,MAX(0,-FV('Summary &amp; Assumptions'!$E$40/12,MAX(0,(12-'Summary &amp; Assumptions'!$E$47)*12),PMT('Summary &amp; Assumptions'!$E$40/12,'Summary &amp; Assumptions'!$E$48*12,'Summary &amp; Assumptions'!$E$34),'Summary &amp; Assumptions'!$E$34))),0),0)</f>
        <v/>
      </c>
      <c r="R58" s="53">
        <f>IFERROR(IF(AND('Summary &amp; Assumptions'!$E$31="Yes",13&lt;='Summary &amp; Assumptions'!$C$23,'Summary &amp; Assumptions'!$E$34&gt;0),IF(13&lt;='Summary &amp; Assumptions'!$E$47,'Summary &amp; Assumptions'!$E$34,MAX(0,-FV('Summary &amp; Assumptions'!$E$40/12,MAX(0,(13-'Summary &amp; Assumptions'!$E$47)*12),PMT('Summary &amp; Assumptions'!$E$40/12,'Summary &amp; Assumptions'!$E$48*12,'Summary &amp; Assumptions'!$E$34),'Summary &amp; Assumptions'!$E$34))),0),0)</f>
        <v/>
      </c>
      <c r="S58" s="53">
        <f>IFERROR(IF(AND('Summary &amp; Assumptions'!$E$31="Yes",14&lt;='Summary &amp; Assumptions'!$C$23,'Summary &amp; Assumptions'!$E$34&gt;0),IF(14&lt;='Summary &amp; Assumptions'!$E$47,'Summary &amp; Assumptions'!$E$34,MAX(0,-FV('Summary &amp; Assumptions'!$E$40/12,MAX(0,(14-'Summary &amp; Assumptions'!$E$47)*12),PMT('Summary &amp; Assumptions'!$E$40/12,'Summary &amp; Assumptions'!$E$48*12,'Summary &amp; Assumptions'!$E$34),'Summary &amp; Assumptions'!$E$34))),0),0)</f>
        <v/>
      </c>
      <c r="T58" s="53">
        <f>IFERROR(IF(AND('Summary &amp; Assumptions'!$E$31="Yes",15&lt;='Summary &amp; Assumptions'!$C$23,'Summary &amp; Assumptions'!$E$34&gt;0),IF(15&lt;='Summary &amp; Assumptions'!$E$47,'Summary &amp; Assumptions'!$E$34,MAX(0,-FV('Summary &amp; Assumptions'!$E$40/12,MAX(0,(15-'Summary &amp; Assumptions'!$E$47)*12),PMT('Summary &amp; Assumptions'!$E$40/12,'Summary &amp; Assumptions'!$E$48*12,'Summary &amp; Assumptions'!$E$34),'Summary &amp; Assumptions'!$E$34))),0),0)</f>
        <v/>
      </c>
      <c r="U58" s="1" t="n"/>
      <c r="V58" s="1" t="n"/>
    </row>
    <row r="59" hidden="1" outlineLevel="1">
      <c r="A59" s="1" t="n"/>
      <c r="B59" s="3" t="inlineStr">
        <is>
          <t xml:space="preserve">    Assumed Loan</t>
        </is>
      </c>
      <c r="C59" s="1" t="n"/>
      <c r="D59" s="1" t="n"/>
      <c r="E59" s="1" t="n"/>
      <c r="F59" s="53">
        <f>IFERROR(IF(AND('Summary &amp; Assumptions'!$F$31="Yes",1&lt;='Summary &amp; Assumptions'!$C$23,'Summary &amp; Assumptions'!$F$34&gt;0),IF(1&lt;='Summary &amp; Assumptions'!$F$47,'Summary &amp; Assumptions'!$F$34,MAX(0,-FV('Summary &amp; Assumptions'!$F$40/12,MAX(0,(1-'Summary &amp; Assumptions'!$F$47)*12),PMT('Summary &amp; Assumptions'!$F$40/12,'Summary &amp; Assumptions'!$F$48*12,'Summary &amp; Assumptions'!$F$34),'Summary &amp; Assumptions'!$F$34))),0),0)</f>
        <v/>
      </c>
      <c r="G59" s="53">
        <f>IFERROR(IF(AND('Summary &amp; Assumptions'!$F$31="Yes",2&lt;='Summary &amp; Assumptions'!$C$23,'Summary &amp; Assumptions'!$F$34&gt;0),IF(2&lt;='Summary &amp; Assumptions'!$F$47,'Summary &amp; Assumptions'!$F$34,MAX(0,-FV('Summary &amp; Assumptions'!$F$40/12,MAX(0,(2-'Summary &amp; Assumptions'!$F$47)*12),PMT('Summary &amp; Assumptions'!$F$40/12,'Summary &amp; Assumptions'!$F$48*12,'Summary &amp; Assumptions'!$F$34),'Summary &amp; Assumptions'!$F$34))),0),0)</f>
        <v/>
      </c>
      <c r="H59" s="53">
        <f>IFERROR(IF(AND('Summary &amp; Assumptions'!$F$31="Yes",3&lt;='Summary &amp; Assumptions'!$C$23,'Summary &amp; Assumptions'!$F$34&gt;0),IF(3&lt;='Summary &amp; Assumptions'!$F$47,'Summary &amp; Assumptions'!$F$34,MAX(0,-FV('Summary &amp; Assumptions'!$F$40/12,MAX(0,(3-'Summary &amp; Assumptions'!$F$47)*12),PMT('Summary &amp; Assumptions'!$F$40/12,'Summary &amp; Assumptions'!$F$48*12,'Summary &amp; Assumptions'!$F$34),'Summary &amp; Assumptions'!$F$34))),0),0)</f>
        <v/>
      </c>
      <c r="I59" s="53">
        <f>IFERROR(IF(AND('Summary &amp; Assumptions'!$F$31="Yes",4&lt;='Summary &amp; Assumptions'!$C$23,'Summary &amp; Assumptions'!$F$34&gt;0),IF(4&lt;='Summary &amp; Assumptions'!$F$47,'Summary &amp; Assumptions'!$F$34,MAX(0,-FV('Summary &amp; Assumptions'!$F$40/12,MAX(0,(4-'Summary &amp; Assumptions'!$F$47)*12),PMT('Summary &amp; Assumptions'!$F$40/12,'Summary &amp; Assumptions'!$F$48*12,'Summary &amp; Assumptions'!$F$34),'Summary &amp; Assumptions'!$F$34))),0),0)</f>
        <v/>
      </c>
      <c r="J59" s="53">
        <f>IFERROR(IF(AND('Summary &amp; Assumptions'!$F$31="Yes",5&lt;='Summary &amp; Assumptions'!$C$23,'Summary &amp; Assumptions'!$F$34&gt;0),IF(5&lt;='Summary &amp; Assumptions'!$F$47,'Summary &amp; Assumptions'!$F$34,MAX(0,-FV('Summary &amp; Assumptions'!$F$40/12,MAX(0,(5-'Summary &amp; Assumptions'!$F$47)*12),PMT('Summary &amp; Assumptions'!$F$40/12,'Summary &amp; Assumptions'!$F$48*12,'Summary &amp; Assumptions'!$F$34),'Summary &amp; Assumptions'!$F$34))),0),0)</f>
        <v/>
      </c>
      <c r="K59" s="53">
        <f>IFERROR(IF(AND('Summary &amp; Assumptions'!$F$31="Yes",6&lt;='Summary &amp; Assumptions'!$C$23,'Summary &amp; Assumptions'!$F$34&gt;0),IF(6&lt;='Summary &amp; Assumptions'!$F$47,'Summary &amp; Assumptions'!$F$34,MAX(0,-FV('Summary &amp; Assumptions'!$F$40/12,MAX(0,(6-'Summary &amp; Assumptions'!$F$47)*12),PMT('Summary &amp; Assumptions'!$F$40/12,'Summary &amp; Assumptions'!$F$48*12,'Summary &amp; Assumptions'!$F$34),'Summary &amp; Assumptions'!$F$34))),0),0)</f>
        <v/>
      </c>
      <c r="L59" s="53">
        <f>IFERROR(IF(AND('Summary &amp; Assumptions'!$F$31="Yes",7&lt;='Summary &amp; Assumptions'!$C$23,'Summary &amp; Assumptions'!$F$34&gt;0),IF(7&lt;='Summary &amp; Assumptions'!$F$47,'Summary &amp; Assumptions'!$F$34,MAX(0,-FV('Summary &amp; Assumptions'!$F$40/12,MAX(0,(7-'Summary &amp; Assumptions'!$F$47)*12),PMT('Summary &amp; Assumptions'!$F$40/12,'Summary &amp; Assumptions'!$F$48*12,'Summary &amp; Assumptions'!$F$34),'Summary &amp; Assumptions'!$F$34))),0),0)</f>
        <v/>
      </c>
      <c r="M59" s="53">
        <f>IFERROR(IF(AND('Summary &amp; Assumptions'!$F$31="Yes",8&lt;='Summary &amp; Assumptions'!$C$23,'Summary &amp; Assumptions'!$F$34&gt;0),IF(8&lt;='Summary &amp; Assumptions'!$F$47,'Summary &amp; Assumptions'!$F$34,MAX(0,-FV('Summary &amp; Assumptions'!$F$40/12,MAX(0,(8-'Summary &amp; Assumptions'!$F$47)*12),PMT('Summary &amp; Assumptions'!$F$40/12,'Summary &amp; Assumptions'!$F$48*12,'Summary &amp; Assumptions'!$F$34),'Summary &amp; Assumptions'!$F$34))),0),0)</f>
        <v/>
      </c>
      <c r="N59" s="53">
        <f>IFERROR(IF(AND('Summary &amp; Assumptions'!$F$31="Yes",9&lt;='Summary &amp; Assumptions'!$C$23,'Summary &amp; Assumptions'!$F$34&gt;0),IF(9&lt;='Summary &amp; Assumptions'!$F$47,'Summary &amp; Assumptions'!$F$34,MAX(0,-FV('Summary &amp; Assumptions'!$F$40/12,MAX(0,(9-'Summary &amp; Assumptions'!$F$47)*12),PMT('Summary &amp; Assumptions'!$F$40/12,'Summary &amp; Assumptions'!$F$48*12,'Summary &amp; Assumptions'!$F$34),'Summary &amp; Assumptions'!$F$34))),0),0)</f>
        <v/>
      </c>
      <c r="O59" s="53">
        <f>IFERROR(IF(AND('Summary &amp; Assumptions'!$F$31="Yes",10&lt;='Summary &amp; Assumptions'!$C$23,'Summary &amp; Assumptions'!$F$34&gt;0),IF(10&lt;='Summary &amp; Assumptions'!$F$47,'Summary &amp; Assumptions'!$F$34,MAX(0,-FV('Summary &amp; Assumptions'!$F$40/12,MAX(0,(10-'Summary &amp; Assumptions'!$F$47)*12),PMT('Summary &amp; Assumptions'!$F$40/12,'Summary &amp; Assumptions'!$F$48*12,'Summary &amp; Assumptions'!$F$34),'Summary &amp; Assumptions'!$F$34))),0),0)</f>
        <v/>
      </c>
      <c r="P59" s="53">
        <f>IFERROR(IF(AND('Summary &amp; Assumptions'!$F$31="Yes",11&lt;='Summary &amp; Assumptions'!$C$23,'Summary &amp; Assumptions'!$F$34&gt;0),IF(11&lt;='Summary &amp; Assumptions'!$F$47,'Summary &amp; Assumptions'!$F$34,MAX(0,-FV('Summary &amp; Assumptions'!$F$40/12,MAX(0,(11-'Summary &amp; Assumptions'!$F$47)*12),PMT('Summary &amp; Assumptions'!$F$40/12,'Summary &amp; Assumptions'!$F$48*12,'Summary &amp; Assumptions'!$F$34),'Summary &amp; Assumptions'!$F$34))),0),0)</f>
        <v/>
      </c>
      <c r="Q59" s="53">
        <f>IFERROR(IF(AND('Summary &amp; Assumptions'!$F$31="Yes",12&lt;='Summary &amp; Assumptions'!$C$23,'Summary &amp; Assumptions'!$F$34&gt;0),IF(12&lt;='Summary &amp; Assumptions'!$F$47,'Summary &amp; Assumptions'!$F$34,MAX(0,-FV('Summary &amp; Assumptions'!$F$40/12,MAX(0,(12-'Summary &amp; Assumptions'!$F$47)*12),PMT('Summary &amp; Assumptions'!$F$40/12,'Summary &amp; Assumptions'!$F$48*12,'Summary &amp; Assumptions'!$F$34),'Summary &amp; Assumptions'!$F$34))),0),0)</f>
        <v/>
      </c>
      <c r="R59" s="53">
        <f>IFERROR(IF(AND('Summary &amp; Assumptions'!$F$31="Yes",13&lt;='Summary &amp; Assumptions'!$C$23,'Summary &amp; Assumptions'!$F$34&gt;0),IF(13&lt;='Summary &amp; Assumptions'!$F$47,'Summary &amp; Assumptions'!$F$34,MAX(0,-FV('Summary &amp; Assumptions'!$F$40/12,MAX(0,(13-'Summary &amp; Assumptions'!$F$47)*12),PMT('Summary &amp; Assumptions'!$F$40/12,'Summary &amp; Assumptions'!$F$48*12,'Summary &amp; Assumptions'!$F$34),'Summary &amp; Assumptions'!$F$34))),0),0)</f>
        <v/>
      </c>
      <c r="S59" s="53">
        <f>IFERROR(IF(AND('Summary &amp; Assumptions'!$F$31="Yes",14&lt;='Summary &amp; Assumptions'!$C$23,'Summary &amp; Assumptions'!$F$34&gt;0),IF(14&lt;='Summary &amp; Assumptions'!$F$47,'Summary &amp; Assumptions'!$F$34,MAX(0,-FV('Summary &amp; Assumptions'!$F$40/12,MAX(0,(14-'Summary &amp; Assumptions'!$F$47)*12),PMT('Summary &amp; Assumptions'!$F$40/12,'Summary &amp; Assumptions'!$F$48*12,'Summary &amp; Assumptions'!$F$34),'Summary &amp; Assumptions'!$F$34))),0),0)</f>
        <v/>
      </c>
      <c r="T59" s="53">
        <f>IFERROR(IF(AND('Summary &amp; Assumptions'!$F$31="Yes",15&lt;='Summary &amp; Assumptions'!$C$23,'Summary &amp; Assumptions'!$F$34&gt;0),IF(15&lt;='Summary &amp; Assumptions'!$F$47,'Summary &amp; Assumptions'!$F$34,MAX(0,-FV('Summary &amp; Assumptions'!$F$40/12,MAX(0,(15-'Summary &amp; Assumptions'!$F$47)*12),PMT('Summary &amp; Assumptions'!$F$40/12,'Summary &amp; Assumptions'!$F$48*12,'Summary &amp; Assumptions'!$F$34),'Summary &amp; Assumptions'!$F$34))),0),0)</f>
        <v/>
      </c>
      <c r="U59" s="1" t="n"/>
      <c r="V59" s="1" t="n"/>
    </row>
    <row r="60" hidden="1" outlineLevel="1">
      <c r="A60" s="1" t="n"/>
      <c r="B60" s="3" t="inlineStr">
        <is>
          <t xml:space="preserve">    Custom 1</t>
        </is>
      </c>
      <c r="C60" s="1" t="n"/>
      <c r="D60" s="1" t="n"/>
      <c r="E60" s="1" t="n"/>
      <c r="F60" s="53">
        <f>IFERROR(IF(AND('Summary &amp; Assumptions'!$G$31="Yes",1&lt;='Summary &amp; Assumptions'!$C$23,'Summary &amp; Assumptions'!$G$34&gt;0),IF(1&lt;='Summary &amp; Assumptions'!$G$47,'Summary &amp; Assumptions'!$G$34,MAX(0,-FV('Summary &amp; Assumptions'!$G$40/12,MAX(0,(1-'Summary &amp; Assumptions'!$G$47)*12),PMT('Summary &amp; Assumptions'!$G$40/12,'Summary &amp; Assumptions'!$G$48*12,'Summary &amp; Assumptions'!$G$34),'Summary &amp; Assumptions'!$G$34))),0),0)</f>
        <v/>
      </c>
      <c r="G60" s="53">
        <f>IFERROR(IF(AND('Summary &amp; Assumptions'!$G$31="Yes",2&lt;='Summary &amp; Assumptions'!$C$23,'Summary &amp; Assumptions'!$G$34&gt;0),IF(2&lt;='Summary &amp; Assumptions'!$G$47,'Summary &amp; Assumptions'!$G$34,MAX(0,-FV('Summary &amp; Assumptions'!$G$40/12,MAX(0,(2-'Summary &amp; Assumptions'!$G$47)*12),PMT('Summary &amp; Assumptions'!$G$40/12,'Summary &amp; Assumptions'!$G$48*12,'Summary &amp; Assumptions'!$G$34),'Summary &amp; Assumptions'!$G$34))),0),0)</f>
        <v/>
      </c>
      <c r="H60" s="53">
        <f>IFERROR(IF(AND('Summary &amp; Assumptions'!$G$31="Yes",3&lt;='Summary &amp; Assumptions'!$C$23,'Summary &amp; Assumptions'!$G$34&gt;0),IF(3&lt;='Summary &amp; Assumptions'!$G$47,'Summary &amp; Assumptions'!$G$34,MAX(0,-FV('Summary &amp; Assumptions'!$G$40/12,MAX(0,(3-'Summary &amp; Assumptions'!$G$47)*12),PMT('Summary &amp; Assumptions'!$G$40/12,'Summary &amp; Assumptions'!$G$48*12,'Summary &amp; Assumptions'!$G$34),'Summary &amp; Assumptions'!$G$34))),0),0)</f>
        <v/>
      </c>
      <c r="I60" s="53">
        <f>IFERROR(IF(AND('Summary &amp; Assumptions'!$G$31="Yes",4&lt;='Summary &amp; Assumptions'!$C$23,'Summary &amp; Assumptions'!$G$34&gt;0),IF(4&lt;='Summary &amp; Assumptions'!$G$47,'Summary &amp; Assumptions'!$G$34,MAX(0,-FV('Summary &amp; Assumptions'!$G$40/12,MAX(0,(4-'Summary &amp; Assumptions'!$G$47)*12),PMT('Summary &amp; Assumptions'!$G$40/12,'Summary &amp; Assumptions'!$G$48*12,'Summary &amp; Assumptions'!$G$34),'Summary &amp; Assumptions'!$G$34))),0),0)</f>
        <v/>
      </c>
      <c r="J60" s="53">
        <f>IFERROR(IF(AND('Summary &amp; Assumptions'!$G$31="Yes",5&lt;='Summary &amp; Assumptions'!$C$23,'Summary &amp; Assumptions'!$G$34&gt;0),IF(5&lt;='Summary &amp; Assumptions'!$G$47,'Summary &amp; Assumptions'!$G$34,MAX(0,-FV('Summary &amp; Assumptions'!$G$40/12,MAX(0,(5-'Summary &amp; Assumptions'!$G$47)*12),PMT('Summary &amp; Assumptions'!$G$40/12,'Summary &amp; Assumptions'!$G$48*12,'Summary &amp; Assumptions'!$G$34),'Summary &amp; Assumptions'!$G$34))),0),0)</f>
        <v/>
      </c>
      <c r="K60" s="53">
        <f>IFERROR(IF(AND('Summary &amp; Assumptions'!$G$31="Yes",6&lt;='Summary &amp; Assumptions'!$C$23,'Summary &amp; Assumptions'!$G$34&gt;0),IF(6&lt;='Summary &amp; Assumptions'!$G$47,'Summary &amp; Assumptions'!$G$34,MAX(0,-FV('Summary &amp; Assumptions'!$G$40/12,MAX(0,(6-'Summary &amp; Assumptions'!$G$47)*12),PMT('Summary &amp; Assumptions'!$G$40/12,'Summary &amp; Assumptions'!$G$48*12,'Summary &amp; Assumptions'!$G$34),'Summary &amp; Assumptions'!$G$34))),0),0)</f>
        <v/>
      </c>
      <c r="L60" s="53">
        <f>IFERROR(IF(AND('Summary &amp; Assumptions'!$G$31="Yes",7&lt;='Summary &amp; Assumptions'!$C$23,'Summary &amp; Assumptions'!$G$34&gt;0),IF(7&lt;='Summary &amp; Assumptions'!$G$47,'Summary &amp; Assumptions'!$G$34,MAX(0,-FV('Summary &amp; Assumptions'!$G$40/12,MAX(0,(7-'Summary &amp; Assumptions'!$G$47)*12),PMT('Summary &amp; Assumptions'!$G$40/12,'Summary &amp; Assumptions'!$G$48*12,'Summary &amp; Assumptions'!$G$34),'Summary &amp; Assumptions'!$G$34))),0),0)</f>
        <v/>
      </c>
      <c r="M60" s="53">
        <f>IFERROR(IF(AND('Summary &amp; Assumptions'!$G$31="Yes",8&lt;='Summary &amp; Assumptions'!$C$23,'Summary &amp; Assumptions'!$G$34&gt;0),IF(8&lt;='Summary &amp; Assumptions'!$G$47,'Summary &amp; Assumptions'!$G$34,MAX(0,-FV('Summary &amp; Assumptions'!$G$40/12,MAX(0,(8-'Summary &amp; Assumptions'!$G$47)*12),PMT('Summary &amp; Assumptions'!$G$40/12,'Summary &amp; Assumptions'!$G$48*12,'Summary &amp; Assumptions'!$G$34),'Summary &amp; Assumptions'!$G$34))),0),0)</f>
        <v/>
      </c>
      <c r="N60" s="53">
        <f>IFERROR(IF(AND('Summary &amp; Assumptions'!$G$31="Yes",9&lt;='Summary &amp; Assumptions'!$C$23,'Summary &amp; Assumptions'!$G$34&gt;0),IF(9&lt;='Summary &amp; Assumptions'!$G$47,'Summary &amp; Assumptions'!$G$34,MAX(0,-FV('Summary &amp; Assumptions'!$G$40/12,MAX(0,(9-'Summary &amp; Assumptions'!$G$47)*12),PMT('Summary &amp; Assumptions'!$G$40/12,'Summary &amp; Assumptions'!$G$48*12,'Summary &amp; Assumptions'!$G$34),'Summary &amp; Assumptions'!$G$34))),0),0)</f>
        <v/>
      </c>
      <c r="O60" s="53">
        <f>IFERROR(IF(AND('Summary &amp; Assumptions'!$G$31="Yes",10&lt;='Summary &amp; Assumptions'!$C$23,'Summary &amp; Assumptions'!$G$34&gt;0),IF(10&lt;='Summary &amp; Assumptions'!$G$47,'Summary &amp; Assumptions'!$G$34,MAX(0,-FV('Summary &amp; Assumptions'!$G$40/12,MAX(0,(10-'Summary &amp; Assumptions'!$G$47)*12),PMT('Summary &amp; Assumptions'!$G$40/12,'Summary &amp; Assumptions'!$G$48*12,'Summary &amp; Assumptions'!$G$34),'Summary &amp; Assumptions'!$G$34))),0),0)</f>
        <v/>
      </c>
      <c r="P60" s="53">
        <f>IFERROR(IF(AND('Summary &amp; Assumptions'!$G$31="Yes",11&lt;='Summary &amp; Assumptions'!$C$23,'Summary &amp; Assumptions'!$G$34&gt;0),IF(11&lt;='Summary &amp; Assumptions'!$G$47,'Summary &amp; Assumptions'!$G$34,MAX(0,-FV('Summary &amp; Assumptions'!$G$40/12,MAX(0,(11-'Summary &amp; Assumptions'!$G$47)*12),PMT('Summary &amp; Assumptions'!$G$40/12,'Summary &amp; Assumptions'!$G$48*12,'Summary &amp; Assumptions'!$G$34),'Summary &amp; Assumptions'!$G$34))),0),0)</f>
        <v/>
      </c>
      <c r="Q60" s="53">
        <f>IFERROR(IF(AND('Summary &amp; Assumptions'!$G$31="Yes",12&lt;='Summary &amp; Assumptions'!$C$23,'Summary &amp; Assumptions'!$G$34&gt;0),IF(12&lt;='Summary &amp; Assumptions'!$G$47,'Summary &amp; Assumptions'!$G$34,MAX(0,-FV('Summary &amp; Assumptions'!$G$40/12,MAX(0,(12-'Summary &amp; Assumptions'!$G$47)*12),PMT('Summary &amp; Assumptions'!$G$40/12,'Summary &amp; Assumptions'!$G$48*12,'Summary &amp; Assumptions'!$G$34),'Summary &amp; Assumptions'!$G$34))),0),0)</f>
        <v/>
      </c>
      <c r="R60" s="53">
        <f>IFERROR(IF(AND('Summary &amp; Assumptions'!$G$31="Yes",13&lt;='Summary &amp; Assumptions'!$C$23,'Summary &amp; Assumptions'!$G$34&gt;0),IF(13&lt;='Summary &amp; Assumptions'!$G$47,'Summary &amp; Assumptions'!$G$34,MAX(0,-FV('Summary &amp; Assumptions'!$G$40/12,MAX(0,(13-'Summary &amp; Assumptions'!$G$47)*12),PMT('Summary &amp; Assumptions'!$G$40/12,'Summary &amp; Assumptions'!$G$48*12,'Summary &amp; Assumptions'!$G$34),'Summary &amp; Assumptions'!$G$34))),0),0)</f>
        <v/>
      </c>
      <c r="S60" s="53">
        <f>IFERROR(IF(AND('Summary &amp; Assumptions'!$G$31="Yes",14&lt;='Summary &amp; Assumptions'!$C$23,'Summary &amp; Assumptions'!$G$34&gt;0),IF(14&lt;='Summary &amp; Assumptions'!$G$47,'Summary &amp; Assumptions'!$G$34,MAX(0,-FV('Summary &amp; Assumptions'!$G$40/12,MAX(0,(14-'Summary &amp; Assumptions'!$G$47)*12),PMT('Summary &amp; Assumptions'!$G$40/12,'Summary &amp; Assumptions'!$G$48*12,'Summary &amp; Assumptions'!$G$34),'Summary &amp; Assumptions'!$G$34))),0),0)</f>
        <v/>
      </c>
      <c r="T60" s="53">
        <f>IFERROR(IF(AND('Summary &amp; Assumptions'!$G$31="Yes",15&lt;='Summary &amp; Assumptions'!$C$23,'Summary &amp; Assumptions'!$G$34&gt;0),IF(15&lt;='Summary &amp; Assumptions'!$G$47,'Summary &amp; Assumptions'!$G$34,MAX(0,-FV('Summary &amp; Assumptions'!$G$40/12,MAX(0,(15-'Summary &amp; Assumptions'!$G$47)*12),PMT('Summary &amp; Assumptions'!$G$40/12,'Summary &amp; Assumptions'!$G$48*12,'Summary &amp; Assumptions'!$G$34),'Summary &amp; Assumptions'!$G$34))),0),0)</f>
        <v/>
      </c>
      <c r="U60" s="1" t="n"/>
      <c r="V60" s="1" t="n"/>
    </row>
    <row r="61" hidden="1" outlineLevel="1">
      <c r="A61" s="1" t="n"/>
      <c r="B61" s="3" t="inlineStr">
        <is>
          <t xml:space="preserve">    Custom 2</t>
        </is>
      </c>
      <c r="C61" s="1" t="n"/>
      <c r="D61" s="1" t="n"/>
      <c r="E61" s="1" t="n"/>
      <c r="F61" s="53">
        <f>IFERROR(IF(AND('Summary &amp; Assumptions'!$H$31="Yes",1&lt;='Summary &amp; Assumptions'!$C$23,'Summary &amp; Assumptions'!$H$34&gt;0),IF(1&lt;='Summary &amp; Assumptions'!$H$47,'Summary &amp; Assumptions'!$H$34,MAX(0,-FV('Summary &amp; Assumptions'!$H$40/12,MAX(0,(1-'Summary &amp; Assumptions'!$H$47)*12),PMT('Summary &amp; Assumptions'!$H$40/12,'Summary &amp; Assumptions'!$H$48*12,'Summary &amp; Assumptions'!$H$34),'Summary &amp; Assumptions'!$H$34))),0),0)</f>
        <v/>
      </c>
      <c r="G61" s="53">
        <f>IFERROR(IF(AND('Summary &amp; Assumptions'!$H$31="Yes",2&lt;='Summary &amp; Assumptions'!$C$23,'Summary &amp; Assumptions'!$H$34&gt;0),IF(2&lt;='Summary &amp; Assumptions'!$H$47,'Summary &amp; Assumptions'!$H$34,MAX(0,-FV('Summary &amp; Assumptions'!$H$40/12,MAX(0,(2-'Summary &amp; Assumptions'!$H$47)*12),PMT('Summary &amp; Assumptions'!$H$40/12,'Summary &amp; Assumptions'!$H$48*12,'Summary &amp; Assumptions'!$H$34),'Summary &amp; Assumptions'!$H$34))),0),0)</f>
        <v/>
      </c>
      <c r="H61" s="53">
        <f>IFERROR(IF(AND('Summary &amp; Assumptions'!$H$31="Yes",3&lt;='Summary &amp; Assumptions'!$C$23,'Summary &amp; Assumptions'!$H$34&gt;0),IF(3&lt;='Summary &amp; Assumptions'!$H$47,'Summary &amp; Assumptions'!$H$34,MAX(0,-FV('Summary &amp; Assumptions'!$H$40/12,MAX(0,(3-'Summary &amp; Assumptions'!$H$47)*12),PMT('Summary &amp; Assumptions'!$H$40/12,'Summary &amp; Assumptions'!$H$48*12,'Summary &amp; Assumptions'!$H$34),'Summary &amp; Assumptions'!$H$34))),0),0)</f>
        <v/>
      </c>
      <c r="I61" s="53">
        <f>IFERROR(IF(AND('Summary &amp; Assumptions'!$H$31="Yes",4&lt;='Summary &amp; Assumptions'!$C$23,'Summary &amp; Assumptions'!$H$34&gt;0),IF(4&lt;='Summary &amp; Assumptions'!$H$47,'Summary &amp; Assumptions'!$H$34,MAX(0,-FV('Summary &amp; Assumptions'!$H$40/12,MAX(0,(4-'Summary &amp; Assumptions'!$H$47)*12),PMT('Summary &amp; Assumptions'!$H$40/12,'Summary &amp; Assumptions'!$H$48*12,'Summary &amp; Assumptions'!$H$34),'Summary &amp; Assumptions'!$H$34))),0),0)</f>
        <v/>
      </c>
      <c r="J61" s="53">
        <f>IFERROR(IF(AND('Summary &amp; Assumptions'!$H$31="Yes",5&lt;='Summary &amp; Assumptions'!$C$23,'Summary &amp; Assumptions'!$H$34&gt;0),IF(5&lt;='Summary &amp; Assumptions'!$H$47,'Summary &amp; Assumptions'!$H$34,MAX(0,-FV('Summary &amp; Assumptions'!$H$40/12,MAX(0,(5-'Summary &amp; Assumptions'!$H$47)*12),PMT('Summary &amp; Assumptions'!$H$40/12,'Summary &amp; Assumptions'!$H$48*12,'Summary &amp; Assumptions'!$H$34),'Summary &amp; Assumptions'!$H$34))),0),0)</f>
        <v/>
      </c>
      <c r="K61" s="53">
        <f>IFERROR(IF(AND('Summary &amp; Assumptions'!$H$31="Yes",6&lt;='Summary &amp; Assumptions'!$C$23,'Summary &amp; Assumptions'!$H$34&gt;0),IF(6&lt;='Summary &amp; Assumptions'!$H$47,'Summary &amp; Assumptions'!$H$34,MAX(0,-FV('Summary &amp; Assumptions'!$H$40/12,MAX(0,(6-'Summary &amp; Assumptions'!$H$47)*12),PMT('Summary &amp; Assumptions'!$H$40/12,'Summary &amp; Assumptions'!$H$48*12,'Summary &amp; Assumptions'!$H$34),'Summary &amp; Assumptions'!$H$34))),0),0)</f>
        <v/>
      </c>
      <c r="L61" s="53">
        <f>IFERROR(IF(AND('Summary &amp; Assumptions'!$H$31="Yes",7&lt;='Summary &amp; Assumptions'!$C$23,'Summary &amp; Assumptions'!$H$34&gt;0),IF(7&lt;='Summary &amp; Assumptions'!$H$47,'Summary &amp; Assumptions'!$H$34,MAX(0,-FV('Summary &amp; Assumptions'!$H$40/12,MAX(0,(7-'Summary &amp; Assumptions'!$H$47)*12),PMT('Summary &amp; Assumptions'!$H$40/12,'Summary &amp; Assumptions'!$H$48*12,'Summary &amp; Assumptions'!$H$34),'Summary &amp; Assumptions'!$H$34))),0),0)</f>
        <v/>
      </c>
      <c r="M61" s="53">
        <f>IFERROR(IF(AND('Summary &amp; Assumptions'!$H$31="Yes",8&lt;='Summary &amp; Assumptions'!$C$23,'Summary &amp; Assumptions'!$H$34&gt;0),IF(8&lt;='Summary &amp; Assumptions'!$H$47,'Summary &amp; Assumptions'!$H$34,MAX(0,-FV('Summary &amp; Assumptions'!$H$40/12,MAX(0,(8-'Summary &amp; Assumptions'!$H$47)*12),PMT('Summary &amp; Assumptions'!$H$40/12,'Summary &amp; Assumptions'!$H$48*12,'Summary &amp; Assumptions'!$H$34),'Summary &amp; Assumptions'!$H$34))),0),0)</f>
        <v/>
      </c>
      <c r="N61" s="53">
        <f>IFERROR(IF(AND('Summary &amp; Assumptions'!$H$31="Yes",9&lt;='Summary &amp; Assumptions'!$C$23,'Summary &amp; Assumptions'!$H$34&gt;0),IF(9&lt;='Summary &amp; Assumptions'!$H$47,'Summary &amp; Assumptions'!$H$34,MAX(0,-FV('Summary &amp; Assumptions'!$H$40/12,MAX(0,(9-'Summary &amp; Assumptions'!$H$47)*12),PMT('Summary &amp; Assumptions'!$H$40/12,'Summary &amp; Assumptions'!$H$48*12,'Summary &amp; Assumptions'!$H$34),'Summary &amp; Assumptions'!$H$34))),0),0)</f>
        <v/>
      </c>
      <c r="O61" s="53">
        <f>IFERROR(IF(AND('Summary &amp; Assumptions'!$H$31="Yes",10&lt;='Summary &amp; Assumptions'!$C$23,'Summary &amp; Assumptions'!$H$34&gt;0),IF(10&lt;='Summary &amp; Assumptions'!$H$47,'Summary &amp; Assumptions'!$H$34,MAX(0,-FV('Summary &amp; Assumptions'!$H$40/12,MAX(0,(10-'Summary &amp; Assumptions'!$H$47)*12),PMT('Summary &amp; Assumptions'!$H$40/12,'Summary &amp; Assumptions'!$H$48*12,'Summary &amp; Assumptions'!$H$34),'Summary &amp; Assumptions'!$H$34))),0),0)</f>
        <v/>
      </c>
      <c r="P61" s="53">
        <f>IFERROR(IF(AND('Summary &amp; Assumptions'!$H$31="Yes",11&lt;='Summary &amp; Assumptions'!$C$23,'Summary &amp; Assumptions'!$H$34&gt;0),IF(11&lt;='Summary &amp; Assumptions'!$H$47,'Summary &amp; Assumptions'!$H$34,MAX(0,-FV('Summary &amp; Assumptions'!$H$40/12,MAX(0,(11-'Summary &amp; Assumptions'!$H$47)*12),PMT('Summary &amp; Assumptions'!$H$40/12,'Summary &amp; Assumptions'!$H$48*12,'Summary &amp; Assumptions'!$H$34),'Summary &amp; Assumptions'!$H$34))),0),0)</f>
        <v/>
      </c>
      <c r="Q61" s="53">
        <f>IFERROR(IF(AND('Summary &amp; Assumptions'!$H$31="Yes",12&lt;='Summary &amp; Assumptions'!$C$23,'Summary &amp; Assumptions'!$H$34&gt;0),IF(12&lt;='Summary &amp; Assumptions'!$H$47,'Summary &amp; Assumptions'!$H$34,MAX(0,-FV('Summary &amp; Assumptions'!$H$40/12,MAX(0,(12-'Summary &amp; Assumptions'!$H$47)*12),PMT('Summary &amp; Assumptions'!$H$40/12,'Summary &amp; Assumptions'!$H$48*12,'Summary &amp; Assumptions'!$H$34),'Summary &amp; Assumptions'!$H$34))),0),0)</f>
        <v/>
      </c>
      <c r="R61" s="53">
        <f>IFERROR(IF(AND('Summary &amp; Assumptions'!$H$31="Yes",13&lt;='Summary &amp; Assumptions'!$C$23,'Summary &amp; Assumptions'!$H$34&gt;0),IF(13&lt;='Summary &amp; Assumptions'!$H$47,'Summary &amp; Assumptions'!$H$34,MAX(0,-FV('Summary &amp; Assumptions'!$H$40/12,MAX(0,(13-'Summary &amp; Assumptions'!$H$47)*12),PMT('Summary &amp; Assumptions'!$H$40/12,'Summary &amp; Assumptions'!$H$48*12,'Summary &amp; Assumptions'!$H$34),'Summary &amp; Assumptions'!$H$34))),0),0)</f>
        <v/>
      </c>
      <c r="S61" s="53">
        <f>IFERROR(IF(AND('Summary &amp; Assumptions'!$H$31="Yes",14&lt;='Summary &amp; Assumptions'!$C$23,'Summary &amp; Assumptions'!$H$34&gt;0),IF(14&lt;='Summary &amp; Assumptions'!$H$47,'Summary &amp; Assumptions'!$H$34,MAX(0,-FV('Summary &amp; Assumptions'!$H$40/12,MAX(0,(14-'Summary &amp; Assumptions'!$H$47)*12),PMT('Summary &amp; Assumptions'!$H$40/12,'Summary &amp; Assumptions'!$H$48*12,'Summary &amp; Assumptions'!$H$34),'Summary &amp; Assumptions'!$H$34))),0),0)</f>
        <v/>
      </c>
      <c r="T61" s="53">
        <f>IFERROR(IF(AND('Summary &amp; Assumptions'!$H$31="Yes",15&lt;='Summary &amp; Assumptions'!$C$23,'Summary &amp; Assumptions'!$H$34&gt;0),IF(15&lt;='Summary &amp; Assumptions'!$H$47,'Summary &amp; Assumptions'!$H$34,MAX(0,-FV('Summary &amp; Assumptions'!$H$40/12,MAX(0,(15-'Summary &amp; Assumptions'!$H$47)*12),PMT('Summary &amp; Assumptions'!$H$40/12,'Summary &amp; Assumptions'!$H$48*12,'Summary &amp; Assumptions'!$H$34),'Summary &amp; Assumptions'!$H$34))),0),0)</f>
        <v/>
      </c>
      <c r="U61" s="1" t="n"/>
      <c r="V61" s="1" t="n"/>
    </row>
    <row r="62" hidden="1" outlineLevel="1">
      <c r="A62" s="1" t="n"/>
      <c r="B62" s="3" t="inlineStr">
        <is>
          <t xml:space="preserve">    Reno Line of Credit</t>
        </is>
      </c>
      <c r="C62" s="1" t="n"/>
      <c r="D62" s="1" t="n"/>
      <c r="E62" s="1" t="n"/>
      <c r="F62" s="53" t="n">
        <v>0</v>
      </c>
      <c r="G62" s="53" t="n">
        <v>0</v>
      </c>
      <c r="H62" s="53" t="n">
        <v>0</v>
      </c>
      <c r="I62" s="53" t="n">
        <v>0</v>
      </c>
      <c r="J62" s="53" t="n">
        <v>0</v>
      </c>
      <c r="K62" s="53" t="n">
        <v>0</v>
      </c>
      <c r="L62" s="53" t="n">
        <v>0</v>
      </c>
      <c r="M62" s="53" t="n">
        <v>0</v>
      </c>
      <c r="N62" s="53" t="n">
        <v>0</v>
      </c>
      <c r="O62" s="53" t="n">
        <v>0</v>
      </c>
      <c r="P62" s="53" t="n">
        <v>0</v>
      </c>
      <c r="Q62" s="53" t="n">
        <v>0</v>
      </c>
      <c r="R62" s="53" t="n">
        <v>0</v>
      </c>
      <c r="S62" s="53" t="n">
        <v>0</v>
      </c>
      <c r="T62" s="53" t="n">
        <v>0</v>
      </c>
      <c r="U62" s="1" t="n"/>
      <c r="V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</row>
    <row r="64">
      <c r="A64" s="1" t="n"/>
      <c r="B64" s="17" t="inlineStr">
        <is>
          <t>NOI for sizing (excl. renovation)</t>
        </is>
      </c>
      <c r="C64" s="1" t="n"/>
      <c r="D64" s="1" t="n"/>
      <c r="E64" s="1" t="n"/>
      <c r="F64" s="38">
        <f>IF(1&gt;'Summary &amp; Assumptions'!$C$23,"",CashFlow!F24)</f>
        <v/>
      </c>
      <c r="G64" s="38">
        <f>IF(2&gt;'Summary &amp; Assumptions'!$C$23,"",CashFlow!G24)</f>
        <v/>
      </c>
      <c r="H64" s="38">
        <f>IF(3&gt;'Summary &amp; Assumptions'!$C$23,"",CashFlow!H24)</f>
        <v/>
      </c>
      <c r="I64" s="38">
        <f>IF(4&gt;'Summary &amp; Assumptions'!$C$23,"",CashFlow!I24)</f>
        <v/>
      </c>
      <c r="J64" s="38">
        <f>IF(5&gt;'Summary &amp; Assumptions'!$C$23,"",CashFlow!J24)</f>
        <v/>
      </c>
      <c r="K64" s="38">
        <f>IF(6&gt;'Summary &amp; Assumptions'!$C$23,"",CashFlow!K24)</f>
        <v/>
      </c>
      <c r="L64" s="38">
        <f>IF(7&gt;'Summary &amp; Assumptions'!$C$23,"",CashFlow!L24)</f>
        <v/>
      </c>
      <c r="M64" s="38">
        <f>IF(8&gt;'Summary &amp; Assumptions'!$C$23,"",CashFlow!M24)</f>
        <v/>
      </c>
      <c r="N64" s="38">
        <f>IF(9&gt;'Summary &amp; Assumptions'!$C$23,"",CashFlow!N24)</f>
        <v/>
      </c>
      <c r="O64" s="38">
        <f>IF(10&gt;'Summary &amp; Assumptions'!$C$23,"",CashFlow!O24)</f>
        <v/>
      </c>
      <c r="P64" s="38">
        <f>IF(11&gt;'Summary &amp; Assumptions'!$C$23,"",CashFlow!P24)</f>
        <v/>
      </c>
      <c r="Q64" s="38">
        <f>IF(12&gt;'Summary &amp; Assumptions'!$C$23,"",CashFlow!Q24)</f>
        <v/>
      </c>
      <c r="R64" s="38">
        <f>IF(13&gt;'Summary &amp; Assumptions'!$C$23,"",CashFlow!R24)</f>
        <v/>
      </c>
      <c r="S64" s="38">
        <f>IF(14&gt;'Summary &amp; Assumptions'!$C$23,"",CashFlow!S24)</f>
        <v/>
      </c>
      <c r="T64" s="38">
        <f>IF(15&gt;'Summary &amp; Assumptions'!$C$23,"",CashFlow!T24)</f>
        <v/>
      </c>
      <c r="U64" s="1" t="n"/>
      <c r="V64" s="1" t="n"/>
    </row>
    <row r="65">
      <c r="A65" s="1" t="n"/>
      <c r="B65" s="8" t="inlineStr">
        <is>
          <t>DSCR (= sizing NOI / Debt Service)</t>
        </is>
      </c>
      <c r="C65" s="1" t="n"/>
      <c r="D65" s="1" t="n"/>
      <c r="E65" s="1" t="n"/>
      <c r="F65" s="42">
        <f>IF(1&gt;'Summary &amp; Assumptions'!$C$23,"",IFERROR(CashFlow!F24/F39,0))</f>
        <v/>
      </c>
      <c r="G65" s="42">
        <f>IF(2&gt;'Summary &amp; Assumptions'!$C$23,"",IFERROR(CashFlow!G24/G39,0))</f>
        <v/>
      </c>
      <c r="H65" s="42">
        <f>IF(3&gt;'Summary &amp; Assumptions'!$C$23,"",IFERROR(CashFlow!H24/H39,0))</f>
        <v/>
      </c>
      <c r="I65" s="42">
        <f>IF(4&gt;'Summary &amp; Assumptions'!$C$23,"",IFERROR(CashFlow!I24/I39,0))</f>
        <v/>
      </c>
      <c r="J65" s="42">
        <f>IF(5&gt;'Summary &amp; Assumptions'!$C$23,"",IFERROR(CashFlow!J24/J39,0))</f>
        <v/>
      </c>
      <c r="K65" s="42">
        <f>IF(6&gt;'Summary &amp; Assumptions'!$C$23,"",IFERROR(CashFlow!K24/K39,0))</f>
        <v/>
      </c>
      <c r="L65" s="42">
        <f>IF(7&gt;'Summary &amp; Assumptions'!$C$23,"",IFERROR(CashFlow!L24/L39,0))</f>
        <v/>
      </c>
      <c r="M65" s="42">
        <f>IF(8&gt;'Summary &amp; Assumptions'!$C$23,"",IFERROR(CashFlow!M24/M39,0))</f>
        <v/>
      </c>
      <c r="N65" s="42">
        <f>IF(9&gt;'Summary &amp; Assumptions'!$C$23,"",IFERROR(CashFlow!N24/N39,0))</f>
        <v/>
      </c>
      <c r="O65" s="42">
        <f>IF(10&gt;'Summary &amp; Assumptions'!$C$23,"",IFERROR(CashFlow!O24/O39,0))</f>
        <v/>
      </c>
      <c r="P65" s="42">
        <f>IF(11&gt;'Summary &amp; Assumptions'!$C$23,"",IFERROR(CashFlow!P24/P39,0))</f>
        <v/>
      </c>
      <c r="Q65" s="42">
        <f>IF(12&gt;'Summary &amp; Assumptions'!$C$23,"",IFERROR(CashFlow!Q24/Q39,0))</f>
        <v/>
      </c>
      <c r="R65" s="42">
        <f>IF(13&gt;'Summary &amp; Assumptions'!$C$23,"",IFERROR(CashFlow!R24/R39,0))</f>
        <v/>
      </c>
      <c r="S65" s="42">
        <f>IF(14&gt;'Summary &amp; Assumptions'!$C$23,"",IFERROR(CashFlow!S24/S39,0))</f>
        <v/>
      </c>
      <c r="T65" s="42">
        <f>IF(15&gt;'Summary &amp; Assumptions'!$C$23,"",IFERROR(CashFlow!T24/T39,0))</f>
        <v/>
      </c>
      <c r="U65" s="1" t="n"/>
      <c r="V65" s="1" t="n"/>
    </row>
    <row r="66">
      <c r="A66" s="1" t="n"/>
      <c r="B66" s="8" t="inlineStr">
        <is>
          <t>Debt Yield (= NOI / Balance)</t>
        </is>
      </c>
      <c r="C66" s="1" t="n"/>
      <c r="D66" s="1" t="n"/>
      <c r="E66" s="1" t="n"/>
      <c r="F66" s="41">
        <f>IF(1&gt;'Summary &amp; Assumptions'!$C$23,"",IFERROR(CashFlow!F23/F55,0))</f>
        <v/>
      </c>
      <c r="G66" s="41">
        <f>IF(2&gt;'Summary &amp; Assumptions'!$C$23,"",IFERROR(CashFlow!G23/G55,0))</f>
        <v/>
      </c>
      <c r="H66" s="41">
        <f>IF(3&gt;'Summary &amp; Assumptions'!$C$23,"",IFERROR(CashFlow!H23/H55,0))</f>
        <v/>
      </c>
      <c r="I66" s="41">
        <f>IF(4&gt;'Summary &amp; Assumptions'!$C$23,"",IFERROR(CashFlow!I23/I55,0))</f>
        <v/>
      </c>
      <c r="J66" s="41">
        <f>IF(5&gt;'Summary &amp; Assumptions'!$C$23,"",IFERROR(CashFlow!J23/J55,0))</f>
        <v/>
      </c>
      <c r="K66" s="41">
        <f>IF(6&gt;'Summary &amp; Assumptions'!$C$23,"",IFERROR(CashFlow!K23/K55,0))</f>
        <v/>
      </c>
      <c r="L66" s="41">
        <f>IF(7&gt;'Summary &amp; Assumptions'!$C$23,"",IFERROR(CashFlow!L23/L55,0))</f>
        <v/>
      </c>
      <c r="M66" s="41">
        <f>IF(8&gt;'Summary &amp; Assumptions'!$C$23,"",IFERROR(CashFlow!M23/M55,0))</f>
        <v/>
      </c>
      <c r="N66" s="41">
        <f>IF(9&gt;'Summary &amp; Assumptions'!$C$23,"",IFERROR(CashFlow!N23/N55,0))</f>
        <v/>
      </c>
      <c r="O66" s="41">
        <f>IF(10&gt;'Summary &amp; Assumptions'!$C$23,"",IFERROR(CashFlow!O23/O55,0))</f>
        <v/>
      </c>
      <c r="P66" s="41">
        <f>IF(11&gt;'Summary &amp; Assumptions'!$C$23,"",IFERROR(CashFlow!P23/P55,0))</f>
        <v/>
      </c>
      <c r="Q66" s="41">
        <f>IF(12&gt;'Summary &amp; Assumptions'!$C$23,"",IFERROR(CashFlow!Q23/Q55,0))</f>
        <v/>
      </c>
      <c r="R66" s="41">
        <f>IF(13&gt;'Summary &amp; Assumptions'!$C$23,"",IFERROR(CashFlow!R23/R55,0))</f>
        <v/>
      </c>
      <c r="S66" s="41">
        <f>IF(14&gt;'Summary &amp; Assumptions'!$C$23,"",IFERROR(CashFlow!S23/S55,0))</f>
        <v/>
      </c>
      <c r="T66" s="41">
        <f>IF(15&gt;'Summary &amp; Assumptions'!$C$23,"",IFERROR(CashFlow!T23/T55,0))</f>
        <v/>
      </c>
      <c r="U66" s="1" t="n"/>
      <c r="V66" s="1" t="n"/>
    </row>
  </sheetData>
  <sheetProtection selectLockedCells="1" selectUnlockedCells="0" algorithmName="SHA-512" sheet="1" objects="1" insertRows="1" insertHyperlinks="1" autoFilter="1" scenarios="1" formatColumns="0" deleteColumns="1" insertColumns="1" pivotTables="1" deleteRows="1" formatCells="0" saltValue="kR2Lz1QJEyJLiHJBsVqNvQ==" formatRows="0" sort="1" spinCount="100000" hashValue="Npj19r5N85qwBCk4c3p/jsOKtxM6e1g92r/EaiYi0mQDXZkMNPqE1mHXM8k0HpofVJF1JugduiuQXHm1M5sHLA==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DDE5ED"/>
    <outlinePr summaryBelow="0" summaryRight="1"/>
    <pageSetUpPr/>
  </sheetPr>
  <dimension ref="A1:T7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2" customWidth="1" style="1" min="1" max="1"/>
    <col width="30" customWidth="1" style="1" min="2" max="2"/>
    <col width="16" customWidth="1" style="1" min="3" max="3"/>
    <col width="12" customWidth="1" style="1" min="4" max="4"/>
    <col width="12" customWidth="1" style="1" min="5" max="5"/>
    <col width="12" customWidth="1" style="1" min="6" max="6"/>
    <col width="12" customWidth="1" style="1" min="7" max="7"/>
    <col width="12" customWidth="1" style="1" min="8" max="8"/>
    <col width="12" customWidth="1" style="1" min="9" max="9"/>
    <col width="12" customWidth="1" style="1" min="10" max="10"/>
    <col width="12" customWidth="1" style="1" min="11" max="11"/>
    <col width="12" customWidth="1" style="1" min="12" max="12"/>
    <col width="12" customWidth="1" style="1" min="13" max="13"/>
    <col width="12" customWidth="1" style="1" min="14" max="14"/>
    <col width="12" customWidth="1" style="1" min="15" max="15"/>
    <col width="12" customWidth="1" style="1" min="16" max="16"/>
    <col width="12" customWidth="1" style="1" min="17" max="17"/>
    <col width="12" customWidth="1" style="1" min="18" max="18"/>
    <col width="12" customWidth="1" style="1" min="19" max="19"/>
    <col width="12" customWidth="1" style="1" min="20" max="20"/>
    <col width="13" customWidth="1" style="1" min="21" max="21"/>
    <col width="13" customWidth="1" style="1" min="22" max="22"/>
    <col width="13" customWidth="1" style="1" min="23" max="23"/>
    <col width="13" customWidth="1" style="1" min="24" max="24"/>
    <col width="13" customWidth="1" style="1" min="25" max="25"/>
    <col width="13" customWidth="1" style="1" min="26" max="26"/>
    <col width="13" customWidth="1" style="1" min="27" max="27"/>
    <col width="13" customWidth="1" style="1" min="28" max="28"/>
    <col width="13" customWidth="1" style="1" min="29" max="29"/>
    <col width="13" customWidth="1" style="1" min="30" max="30"/>
    <col width="13" customWidth="1" style="1" min="31" max="31"/>
    <col width="13" customWidth="1" style="1" min="32" max="32"/>
    <col width="13" customWidth="1" style="1" min="33" max="33"/>
    <col width="13" customWidth="1" style="1" min="34" max="34"/>
    <col width="13" customWidth="1" style="1" min="35" max="35"/>
    <col width="13" customWidth="1" style="1" min="36" max="36"/>
    <col width="13" customWidth="1" style="1" min="37" max="37"/>
    <col width="13" customWidth="1" style="1" min="38" max="38"/>
    <col width="13" customWidth="1" style="1" min="39" max="39"/>
    <col width="13" customWidth="1" style="1" min="40" max="40"/>
    <col width="13" customWidth="1" style="1" min="41" max="41"/>
    <col width="13" customWidth="1" style="1" min="42" max="42"/>
    <col width="13" customWidth="1" style="1" min="43" max="43"/>
    <col width="13" customWidth="1" style="1" min="44" max="44"/>
    <col width="13" customWidth="1" style="1" min="45" max="45"/>
    <col width="13" customWidth="1" style="1" min="46" max="46"/>
    <col width="13" customWidth="1" style="1" min="47" max="47"/>
    <col width="13" customWidth="1" style="1" min="48" max="48"/>
    <col width="13" customWidth="1" style="1" min="49" max="49"/>
  </cols>
  <sheetData>
    <row r="1" ht="46" customHeight="1">
      <c r="A1" s="1" t="n"/>
      <c r="B1" s="2" t="n"/>
      <c r="C1" s="1" t="n"/>
      <c r="D1" s="3">
        <f>IF('Summary &amp; Assumptions'!$C$6="",IFERROR(LEFT('Summary &amp; Assumptions'!$C$7,FIND(",",'Summary &amp; Assumptions'!$C$7)-1),'Summary &amp; Assumptions'!$C$7),'Summary &amp; Assumptions'!$C$6)&amp;", "&amp;'Summary &amp; Assumptions'!$C$8&amp;", "&amp;'Summary &amp; Assumptions'!$C$9&amp;" - "&amp;'Summary &amp; Assumptions'!$C$11&amp;" Units - Built in "&amp;'Summary &amp; Assumptions'!$C$12</f>
        <v/>
      </c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</row>
    <row r="2">
      <c r="A2" s="1" t="n"/>
      <c r="B2" s="4" t="inlineStr">
        <is>
          <t>Waterfall</t>
        </is>
      </c>
      <c r="C2" s="1" t="n"/>
      <c r="D2" s="5" t="inlineStr">
        <is>
          <t>View Dashboard on Slung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</row>
    <row r="3">
      <c r="A3" s="1" t="n"/>
      <c r="B3" s="3" t="inlineStr">
        <is>
          <t>Annual waterfall: preferred return, return of capital, then the promote split. IRR-lookback tiers 3 and 4 are not modeled.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</row>
    <row r="5">
      <c r="A5" s="1" t="n"/>
      <c r="B5" s="6" t="inlineStr">
        <is>
          <t>Equity &amp; Waterfall</t>
        </is>
      </c>
      <c r="C5" s="7" t="n"/>
      <c r="D5" s="1" t="n"/>
      <c r="E5" s="1" t="n"/>
      <c r="F5" s="6" t="inlineStr">
        <is>
          <t>Fees</t>
        </is>
      </c>
      <c r="G5" s="7" t="n"/>
      <c r="H5" s="7" t="n"/>
      <c r="I5" s="1" t="n"/>
      <c r="J5" s="1" t="n"/>
      <c r="K5" s="6" t="inlineStr">
        <is>
          <t>Structure</t>
        </is>
      </c>
      <c r="L5" s="7" t="n"/>
      <c r="M5" s="7" t="n"/>
      <c r="N5" s="1" t="n"/>
      <c r="O5" s="1" t="n"/>
      <c r="P5" s="1" t="n"/>
      <c r="Q5" s="1" t="n"/>
      <c r="R5" s="1" t="n"/>
      <c r="S5" s="1" t="n"/>
      <c r="T5" s="1" t="n"/>
    </row>
    <row r="6">
      <c r="A6" s="1" t="n"/>
      <c r="B6" s="8" t="inlineStr">
        <is>
          <t>GP Equity Contribution %</t>
        </is>
      </c>
      <c r="C6" s="32" t="n">
        <v>0.1</v>
      </c>
      <c r="D6" s="1" t="n"/>
      <c r="E6" s="1" t="n"/>
      <c r="F6" s="8" t="inlineStr">
        <is>
          <t>Acquisition Fee (% of price)</t>
        </is>
      </c>
      <c r="G6" s="1" t="n"/>
      <c r="H6" s="13" t="n">
        <v>0.01</v>
      </c>
      <c r="I6" s="1" t="n"/>
      <c r="J6" s="1" t="n"/>
      <c r="K6" s="8" t="inlineStr">
        <is>
          <t>Mode</t>
        </is>
      </c>
      <c r="L6" s="1" t="n"/>
      <c r="M6" s="37">
        <f>'Investor Waterfall'!$C$8</f>
        <v/>
      </c>
      <c r="N6" s="1" t="n"/>
      <c r="O6" s="1" t="n"/>
      <c r="P6" s="1" t="n"/>
      <c r="Q6" s="1" t="n"/>
      <c r="R6" s="1" t="n"/>
      <c r="S6" s="1" t="n"/>
      <c r="T6" s="1" t="n"/>
    </row>
    <row r="7">
      <c r="A7" s="1" t="n"/>
      <c r="B7" s="8" t="inlineStr">
        <is>
          <t>LP Equity Contribution %</t>
        </is>
      </c>
      <c r="C7" s="73">
        <f>1-'Investor Waterfall'!$C$6</f>
        <v/>
      </c>
      <c r="D7" s="1" t="n"/>
      <c r="E7" s="1" t="n"/>
      <c r="F7" s="8" t="inlineStr">
        <is>
          <t>AM Fee Basis</t>
        </is>
      </c>
      <c r="G7" s="1" t="n"/>
      <c r="H7" s="9" t="inlineStr">
        <is>
          <t>% of Invested Equity</t>
        </is>
      </c>
      <c r="I7" s="1" t="n"/>
      <c r="J7" s="1" t="n"/>
      <c r="K7" s="8" t="inlineStr">
        <is>
          <t>GP / LP Equity</t>
        </is>
      </c>
      <c r="L7" s="1" t="n"/>
      <c r="M7" s="37">
        <f>TEXT('Investor Waterfall'!$C$6,"0%")&amp;" / "&amp;TEXT('Investor Waterfall'!$C$7,"0%")</f>
        <v/>
      </c>
      <c r="N7" s="1" t="n"/>
      <c r="O7" s="1" t="n"/>
      <c r="P7" s="1" t="n"/>
      <c r="Q7" s="1" t="n"/>
      <c r="R7" s="1" t="n"/>
      <c r="S7" s="1" t="n"/>
      <c r="T7" s="1" t="n"/>
    </row>
    <row r="8">
      <c r="A8" s="1" t="n"/>
      <c r="B8" s="8" t="inlineStr">
        <is>
          <t>Waterfall Mode</t>
        </is>
      </c>
      <c r="C8" s="9" t="inlineStr">
        <is>
          <t>Tiered Promote</t>
        </is>
      </c>
      <c r="D8" s="1" t="n"/>
      <c r="E8" s="1" t="n"/>
      <c r="F8" s="8" t="inlineStr">
        <is>
          <t>AM Fee Rate</t>
        </is>
      </c>
      <c r="G8" s="1" t="n"/>
      <c r="H8" s="13" t="n">
        <v>0.01</v>
      </c>
      <c r="I8" s="1" t="n"/>
      <c r="J8" s="1" t="n"/>
      <c r="K8" s="8" t="inlineStr">
        <is>
          <t>Preferred Return</t>
        </is>
      </c>
      <c r="L8" s="1" t="n"/>
      <c r="M8" s="11">
        <f>'Investor Waterfall'!$C$9</f>
        <v/>
      </c>
      <c r="N8" s="1" t="n"/>
      <c r="O8" s="1" t="n"/>
      <c r="P8" s="1" t="n"/>
      <c r="Q8" s="1" t="n"/>
      <c r="R8" s="1" t="n"/>
      <c r="S8" s="1" t="n"/>
      <c r="T8" s="1" t="n"/>
    </row>
    <row r="9">
      <c r="A9" s="1" t="n"/>
      <c r="B9" s="8" t="inlineStr">
        <is>
          <t>Preferred Return (Tier 1 Hurdle)</t>
        </is>
      </c>
      <c r="C9" s="13" t="n">
        <v>0.08</v>
      </c>
      <c r="D9" s="1" t="n"/>
      <c r="E9" s="1" t="n"/>
      <c r="F9" s="8" t="inlineStr">
        <is>
          <t>AM Fee Fixed ($/yr)</t>
        </is>
      </c>
      <c r="G9" s="1" t="n"/>
      <c r="H9" s="10" t="n">
        <v>0</v>
      </c>
      <c r="I9" s="1" t="n"/>
      <c r="J9" s="1" t="n"/>
      <c r="K9" s="8" t="inlineStr">
        <is>
          <t>Pref Type</t>
        </is>
      </c>
      <c r="L9" s="1" t="n"/>
      <c r="M9" s="37">
        <f>'Investor Waterfall'!$C$10&amp;IF('Investor Waterfall'!$C$11="Yes"," — cumulative"," — non-cumulative")</f>
        <v/>
      </c>
      <c r="N9" s="1" t="n"/>
      <c r="O9" s="1" t="n"/>
      <c r="P9" s="1" t="n"/>
      <c r="Q9" s="1" t="n"/>
      <c r="R9" s="1" t="n"/>
      <c r="S9" s="1" t="n"/>
      <c r="T9" s="1" t="n"/>
    </row>
    <row r="10">
      <c r="A10" s="1" t="n"/>
      <c r="B10" s="8" t="inlineStr">
        <is>
          <t>Pref Type</t>
        </is>
      </c>
      <c r="C10" s="9" t="inlineStr">
        <is>
          <t>Compounding</t>
        </is>
      </c>
      <c r="D10" s="1" t="n"/>
      <c r="E10" s="1" t="n"/>
      <c r="F10" s="8" t="inlineStr">
        <is>
          <t>Disposition Fee (% of sale)</t>
        </is>
      </c>
      <c r="G10" s="1" t="n"/>
      <c r="H10" s="13" t="n">
        <v>0.01</v>
      </c>
      <c r="I10" s="1" t="n"/>
      <c r="J10" s="1" t="n"/>
      <c r="K10" s="8" t="inlineStr">
        <is>
          <t>GP Catch-Up</t>
        </is>
      </c>
      <c r="L10" s="1" t="n"/>
      <c r="M10" s="37">
        <f>IF('Investor Waterfall'!$C$12="Yes",TEXT('Investor Waterfall'!$C$13,"0%"),"None")</f>
        <v/>
      </c>
      <c r="N10" s="1" t="n"/>
      <c r="O10" s="1" t="n"/>
      <c r="P10" s="1" t="n"/>
      <c r="Q10" s="1" t="n"/>
      <c r="R10" s="1" t="n"/>
      <c r="S10" s="1" t="n"/>
      <c r="T10" s="1" t="n"/>
    </row>
    <row r="11">
      <c r="A11" s="1" t="n"/>
      <c r="B11" s="8" t="inlineStr">
        <is>
          <t>Accrue Unpaid Pref?</t>
        </is>
      </c>
      <c r="C11" s="9" t="inlineStr">
        <is>
          <t>Yes</t>
        </is>
      </c>
      <c r="D11" s="1" t="n"/>
      <c r="E11" s="1" t="n"/>
      <c r="F11" s="1" t="n"/>
      <c r="G11" s="1" t="n"/>
      <c r="H11" s="1" t="n"/>
      <c r="I11" s="1" t="n"/>
      <c r="J11" s="1" t="n"/>
      <c r="K11" s="8" t="inlineStr">
        <is>
          <t>Tier 2</t>
        </is>
      </c>
      <c r="L11" s="1" t="n"/>
      <c r="M11" s="37">
        <f>TEXT('Investor Waterfall'!$C$14,"0.0%")&amp;" IRR — "&amp;TEXT('Investor Waterfall'!$C$15,"0%")&amp;" promote"</f>
        <v/>
      </c>
      <c r="N11" s="1" t="n"/>
      <c r="O11" s="1" t="n"/>
      <c r="P11" s="1" t="n"/>
      <c r="Q11" s="1" t="n"/>
      <c r="R11" s="1" t="n"/>
      <c r="S11" s="1" t="n"/>
      <c r="T11" s="1" t="n"/>
    </row>
    <row r="12">
      <c r="A12" s="1" t="n"/>
      <c r="B12" s="8" t="inlineStr">
        <is>
          <t>GP Catch-Up?</t>
        </is>
      </c>
      <c r="C12" s="9" t="inlineStr">
        <is>
          <t>No</t>
        </is>
      </c>
      <c r="D12" s="1" t="n"/>
      <c r="E12" s="1" t="n"/>
      <c r="F12" s="6" t="inlineStr">
        <is>
          <t>Reserves</t>
        </is>
      </c>
      <c r="G12" s="7" t="n"/>
      <c r="H12" s="7" t="n"/>
      <c r="I12" s="1" t="n"/>
      <c r="J12" s="1" t="n"/>
      <c r="K12" s="8" t="inlineStr">
        <is>
          <t>Tier 3</t>
        </is>
      </c>
      <c r="L12" s="1" t="n"/>
      <c r="M12" s="37">
        <f>TEXT('Investor Waterfall'!$C$16,"0.0%")&amp;" IRR — "&amp;TEXT('Investor Waterfall'!$C$17,"0%")&amp;" promote"</f>
        <v/>
      </c>
      <c r="N12" s="1" t="n"/>
      <c r="O12" s="1" t="n"/>
      <c r="P12" s="1" t="n"/>
      <c r="Q12" s="1" t="n"/>
      <c r="R12" s="1" t="n"/>
      <c r="S12" s="1" t="n"/>
      <c r="T12" s="1" t="n"/>
    </row>
    <row r="13">
      <c r="A13" s="1" t="n"/>
      <c r="B13" s="8" t="inlineStr">
        <is>
          <t>Catch-Up to (GP % of profits)</t>
        </is>
      </c>
      <c r="C13" s="32" t="n">
        <v>0.2</v>
      </c>
      <c r="D13" s="1" t="n"/>
      <c r="E13" s="1" t="n"/>
      <c r="F13" s="8" t="inlineStr">
        <is>
          <t>Replacement Reserve ($/unit/yr)</t>
        </is>
      </c>
      <c r="G13" s="1" t="n"/>
      <c r="H13" s="10" t="n">
        <v>250</v>
      </c>
      <c r="I13" s="1" t="n"/>
      <c r="J13" s="1" t="n"/>
      <c r="K13" s="8" t="inlineStr">
        <is>
          <t>Tier 4</t>
        </is>
      </c>
      <c r="L13" s="1" t="n"/>
      <c r="M13" s="37">
        <f>TEXT('Investor Waterfall'!$C$18,"0.0%")&amp;" IRR — "&amp;TEXT('Investor Waterfall'!$C$19,"0%")&amp;" promote"</f>
        <v/>
      </c>
      <c r="N13" s="1" t="n"/>
      <c r="O13" s="1" t="n"/>
      <c r="P13" s="1" t="n"/>
      <c r="Q13" s="1" t="n"/>
      <c r="R13" s="1" t="n"/>
      <c r="S13" s="1" t="n"/>
      <c r="T13" s="1" t="n"/>
    </row>
    <row r="14">
      <c r="A14" s="1" t="n"/>
      <c r="B14" s="8" t="inlineStr">
        <is>
          <t>Tier 2 Hurdle (IRR)</t>
        </is>
      </c>
      <c r="C14" s="13" t="n">
        <v>0.12</v>
      </c>
      <c r="D14" s="1" t="n"/>
      <c r="E14" s="1" t="n"/>
      <c r="F14" s="8" t="inlineStr">
        <is>
          <t>Working Capital ($)</t>
        </is>
      </c>
      <c r="G14" s="1" t="n"/>
      <c r="H14" s="10" t="n">
        <v>0</v>
      </c>
      <c r="I14" s="1" t="n"/>
      <c r="J14" s="1" t="n"/>
      <c r="K14" s="8" t="inlineStr">
        <is>
          <t>Residual</t>
        </is>
      </c>
      <c r="L14" s="1" t="n"/>
      <c r="M14" s="37">
        <f>IF('Investor Waterfall'!$C$8="Tiered Promote",TEXT('Investor Waterfall'!$C$20,"0%")&amp;" promote","pro-rata")</f>
        <v/>
      </c>
      <c r="N14" s="1" t="n"/>
      <c r="O14" s="1" t="n"/>
      <c r="P14" s="1" t="n"/>
      <c r="Q14" s="1" t="n"/>
      <c r="R14" s="1" t="n"/>
      <c r="S14" s="1" t="n"/>
      <c r="T14" s="1" t="n"/>
    </row>
    <row r="15">
      <c r="A15" s="1" t="n"/>
      <c r="B15" s="8" t="inlineStr">
        <is>
          <t>Tier 2 GP Promote</t>
        </is>
      </c>
      <c r="C15" s="32" t="n">
        <v>0.2</v>
      </c>
      <c r="D15" s="1" t="n"/>
      <c r="E15" s="1" t="n"/>
      <c r="F15" s="8" t="inlineStr">
        <is>
          <t>Debt Service Reserve (months)</t>
        </is>
      </c>
      <c r="G15" s="1" t="n"/>
      <c r="H15" s="56" t="n">
        <v>0</v>
      </c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</row>
    <row r="16">
      <c r="A16" s="1" t="n"/>
      <c r="B16" s="8" t="inlineStr">
        <is>
          <t>Tier 3 Hurdle (IRR)</t>
        </is>
      </c>
      <c r="C16" s="13" t="n">
        <v>0.15</v>
      </c>
      <c r="D16" s="1" t="n"/>
      <c r="E16" s="1" t="n"/>
      <c r="F16" s="8" t="inlineStr">
        <is>
          <t>Release Unused Reserves at Exit?</t>
        </is>
      </c>
      <c r="G16" s="1" t="n"/>
      <c r="H16" s="9" t="inlineStr">
        <is>
          <t>Yes</t>
        </is>
      </c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  <c r="T16" s="1" t="n"/>
    </row>
    <row r="17">
      <c r="A17" s="1" t="n"/>
      <c r="B17" s="8" t="inlineStr">
        <is>
          <t>Tier 3 GP Promote</t>
        </is>
      </c>
      <c r="C17" s="32" t="n">
        <v>0.4</v>
      </c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  <c r="T17" s="1" t="n"/>
    </row>
    <row r="18">
      <c r="A18" s="1" t="n"/>
      <c r="B18" s="8" t="inlineStr">
        <is>
          <t>Tier 4 Hurdle (IRR)</t>
        </is>
      </c>
      <c r="C18" s="13" t="n">
        <v>0.2</v>
      </c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  <c r="T18" s="1" t="n"/>
    </row>
    <row r="19">
      <c r="A19" s="1" t="n"/>
      <c r="B19" s="8" t="inlineStr">
        <is>
          <t>Tier 4 GP Promote</t>
        </is>
      </c>
      <c r="C19" s="32" t="n">
        <v>0.5</v>
      </c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</row>
    <row r="20">
      <c r="A20" s="1" t="n"/>
      <c r="B20" s="8" t="inlineStr">
        <is>
          <t>Residual GP Promote</t>
        </is>
      </c>
      <c r="C20" s="32" t="n">
        <v>0.5</v>
      </c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</row>
    <row r="21" hidden="1" outlineLevel="1">
      <c r="A21" s="1" t="n"/>
      <c r="B21" s="8" t="inlineStr">
        <is>
          <t>Origination Fee $</t>
        </is>
      </c>
      <c r="C21" s="10" t="n"/>
      <c r="D21" s="10" t="n"/>
      <c r="E21" s="10" t="n"/>
      <c r="F21" s="10" t="n"/>
      <c r="G21" s="10" t="n"/>
      <c r="H21" s="10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  <c r="T21" s="1" t="n"/>
    </row>
    <row r="22" hidden="1" outlineLevel="1">
      <c r="A22" s="1" t="n"/>
      <c r="B22" s="8" t="inlineStr">
        <is>
          <t>Exit Fee %</t>
        </is>
      </c>
      <c r="C22" s="13" t="n"/>
      <c r="D22" s="13" t="n"/>
      <c r="E22" s="13" t="n"/>
      <c r="F22" s="13" t="n"/>
      <c r="G22" s="13" t="n"/>
      <c r="H22" s="13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</row>
    <row r="23" hidden="1" outlineLevel="1">
      <c r="A23" s="1" t="n"/>
      <c r="B23" s="8" t="inlineStr">
        <is>
          <t>Prepayment Penalty $</t>
        </is>
      </c>
      <c r="C23" s="10" t="n"/>
      <c r="D23" s="10" t="n"/>
      <c r="E23" s="10" t="n"/>
      <c r="F23" s="10" t="n"/>
      <c r="G23" s="10" t="n"/>
      <c r="H23" s="10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</row>
    <row r="24" hidden="1" outlineLevel="1">
      <c r="A24" s="1" t="n"/>
      <c r="B24" s="8" t="inlineStr">
        <is>
          <t>Reno Draw Facility $</t>
        </is>
      </c>
      <c r="C24" s="10" t="n"/>
      <c r="D24" s="10" t="n"/>
      <c r="E24" s="10" t="n"/>
      <c r="F24" s="10" t="n"/>
      <c r="G24" s="10" t="n"/>
      <c r="H24" s="10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</row>
    <row r="25" hidden="1" outlineLevel="1">
      <c r="A25" s="1" t="n"/>
      <c r="B25" s="8" t="inlineStr">
        <is>
          <t>Interest Reserve $</t>
        </is>
      </c>
      <c r="C25" s="10" t="n"/>
      <c r="D25" s="10" t="n"/>
      <c r="E25" s="10" t="n"/>
      <c r="F25" s="10" t="n"/>
      <c r="G25" s="10" t="n"/>
      <c r="H25" s="10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</row>
    <row r="26" hidden="1" outlineLevel="1">
      <c r="A26" s="1" t="n"/>
      <c r="B26" s="8" t="inlineStr">
        <is>
          <t>Apply Refi Proceeds</t>
        </is>
      </c>
      <c r="C26" s="29" t="n"/>
      <c r="D26" s="29" t="n"/>
      <c r="E26" s="29" t="n"/>
      <c r="F26" s="29" t="n"/>
      <c r="G26" s="29" t="n"/>
      <c r="H26" s="29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</row>
    <row r="27" hidden="1" outlineLevel="1">
      <c r="A27" s="1" t="n"/>
      <c r="B27" s="3" t="inlineStr">
        <is>
          <t>→ Include? (from Debt grid)</t>
        </is>
      </c>
      <c r="C27" s="3">
        <f>'Summary &amp; Assumptions'!$C$31</f>
        <v/>
      </c>
      <c r="D27" s="3">
        <f>'Summary &amp; Assumptions'!$D$31</f>
        <v/>
      </c>
      <c r="E27" s="3">
        <f>'Summary &amp; Assumptions'!$E$31</f>
        <v/>
      </c>
      <c r="F27" s="3">
        <f>'Summary &amp; Assumptions'!$F$31</f>
        <v/>
      </c>
      <c r="G27" s="3">
        <f>'Summary &amp; Assumptions'!$G$31</f>
        <v/>
      </c>
      <c r="H27" s="3">
        <f>'Summary &amp; Assumptions'!$H$31</f>
        <v/>
      </c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</row>
    <row r="29">
      <c r="A29" s="1" t="n"/>
      <c r="B29" s="6" t="inlineStr">
        <is>
          <t>Annual Distributions</t>
        </is>
      </c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 t="n"/>
      <c r="O29" s="7" t="n"/>
      <c r="P29" s="7" t="n"/>
      <c r="Q29" s="7" t="n"/>
      <c r="R29" s="7" t="n"/>
      <c r="S29" s="1" t="n"/>
      <c r="T29" s="1" t="n"/>
    </row>
    <row r="30">
      <c r="A30" s="1" t="n"/>
      <c r="B30" s="8" t="inlineStr"/>
      <c r="C30" s="1" t="n"/>
      <c r="D30" s="1" t="n"/>
      <c r="E30" s="1" t="n"/>
      <c r="F30" s="22">
        <f>IF(1&gt;'Summary &amp; Assumptions'!$C$23,"","Year 1")</f>
        <v/>
      </c>
      <c r="G30" s="22">
        <f>IF(2&gt;'Summary &amp; Assumptions'!$C$23,"","Year 2")</f>
        <v/>
      </c>
      <c r="H30" s="22">
        <f>IF(3&gt;'Summary &amp; Assumptions'!$C$23,"","Year 3")</f>
        <v/>
      </c>
      <c r="I30" s="22">
        <f>IF(4&gt;'Summary &amp; Assumptions'!$C$23,"","Year 4")</f>
        <v/>
      </c>
      <c r="J30" s="22">
        <f>IF(5&gt;'Summary &amp; Assumptions'!$C$23,"","Year 5")</f>
        <v/>
      </c>
      <c r="K30" s="22">
        <f>IF(6&gt;'Summary &amp; Assumptions'!$C$23,"","Year 6")</f>
        <v/>
      </c>
      <c r="L30" s="22">
        <f>IF(7&gt;'Summary &amp; Assumptions'!$C$23,"","Year 7")</f>
        <v/>
      </c>
      <c r="M30" s="22">
        <f>IF(8&gt;'Summary &amp; Assumptions'!$C$23,"","Year 8")</f>
        <v/>
      </c>
      <c r="N30" s="22">
        <f>IF(9&gt;'Summary &amp; Assumptions'!$C$23,"","Year 9")</f>
        <v/>
      </c>
      <c r="O30" s="22">
        <f>IF(10&gt;'Summary &amp; Assumptions'!$C$23,"","Year 10")</f>
        <v/>
      </c>
      <c r="P30" s="22">
        <f>IF(11&gt;'Summary &amp; Assumptions'!$C$23,"","Year 11")</f>
        <v/>
      </c>
      <c r="Q30" s="22">
        <f>IF(12&gt;'Summary &amp; Assumptions'!$C$23,"","Year 12")</f>
        <v/>
      </c>
      <c r="R30" s="22">
        <f>IF(13&gt;'Summary &amp; Assumptions'!$C$23,"","Year 13")</f>
        <v/>
      </c>
      <c r="S30" s="22">
        <f>IF(14&gt;'Summary &amp; Assumptions'!$C$23,"","Year 14")</f>
        <v/>
      </c>
      <c r="T30" s="22">
        <f>IF(15&gt;'Summary &amp; Assumptions'!$C$23,"","Year 15")</f>
        <v/>
      </c>
    </row>
    <row r="31">
      <c r="A31" s="1" t="n"/>
      <c r="B31" s="17" t="inlineStr">
        <is>
          <t>Distributable Cash</t>
        </is>
      </c>
      <c r="C31" s="1" t="n"/>
      <c r="D31" s="1" t="n"/>
      <c r="E31" s="1" t="n"/>
      <c r="F31" s="39">
        <f>IF(1&gt;'Summary &amp; Assumptions'!$C$23,"",MAX(0,CashFlow!F40))</f>
        <v/>
      </c>
      <c r="G31" s="39">
        <f>IF(2&gt;'Summary &amp; Assumptions'!$C$23,"",MAX(0,CashFlow!G40))</f>
        <v/>
      </c>
      <c r="H31" s="39">
        <f>IF(3&gt;'Summary &amp; Assumptions'!$C$23,"",MAX(0,CashFlow!H40))</f>
        <v/>
      </c>
      <c r="I31" s="39">
        <f>IF(4&gt;'Summary &amp; Assumptions'!$C$23,"",MAX(0,CashFlow!I40))</f>
        <v/>
      </c>
      <c r="J31" s="39">
        <f>IF(5&gt;'Summary &amp; Assumptions'!$C$23,"",MAX(0,CashFlow!J40))</f>
        <v/>
      </c>
      <c r="K31" s="39">
        <f>IF(6&gt;'Summary &amp; Assumptions'!$C$23,"",MAX(0,CashFlow!K40))</f>
        <v/>
      </c>
      <c r="L31" s="39">
        <f>IF(7&gt;'Summary &amp; Assumptions'!$C$23,"",MAX(0,CashFlow!L40))</f>
        <v/>
      </c>
      <c r="M31" s="39">
        <f>IF(8&gt;'Summary &amp; Assumptions'!$C$23,"",MAX(0,CashFlow!M40))</f>
        <v/>
      </c>
      <c r="N31" s="39">
        <f>IF(9&gt;'Summary &amp; Assumptions'!$C$23,"",MAX(0,CashFlow!N40))</f>
        <v/>
      </c>
      <c r="O31" s="39">
        <f>IF(10&gt;'Summary &amp; Assumptions'!$C$23,"",MAX(0,CashFlow!O40))</f>
        <v/>
      </c>
      <c r="P31" s="39">
        <f>IF(11&gt;'Summary &amp; Assumptions'!$C$23,"",MAX(0,CashFlow!P40))</f>
        <v/>
      </c>
      <c r="Q31" s="39">
        <f>IF(12&gt;'Summary &amp; Assumptions'!$C$23,"",MAX(0,CashFlow!Q40))</f>
        <v/>
      </c>
      <c r="R31" s="39">
        <f>IF(13&gt;'Summary &amp; Assumptions'!$C$23,"",MAX(0,CashFlow!R40))</f>
        <v/>
      </c>
      <c r="S31" s="39">
        <f>IF(14&gt;'Summary &amp; Assumptions'!$C$23,"",MAX(0,CashFlow!S40))</f>
        <v/>
      </c>
      <c r="T31" s="39">
        <f>IF(15&gt;'Summary &amp; Assumptions'!$C$23,"",MAX(0,CashFlow!T40))</f>
        <v/>
      </c>
    </row>
    <row r="32">
      <c r="A32" s="1" t="n"/>
      <c r="B32" s="8" t="inlineStr">
        <is>
          <t>Preferred Return Paid</t>
        </is>
      </c>
      <c r="C32" s="1" t="n"/>
      <c r="D32" s="1" t="n"/>
      <c r="E32" s="1" t="n"/>
      <c r="F32" s="38">
        <f>IF(1&gt;'Summary &amp; Assumptions'!$C$23,"",MIN(F31,F70))</f>
        <v/>
      </c>
      <c r="G32" s="38">
        <f>IF(2&gt;'Summary &amp; Assumptions'!$C$23,"",MIN(G31,G70))</f>
        <v/>
      </c>
      <c r="H32" s="38">
        <f>IF(3&gt;'Summary &amp; Assumptions'!$C$23,"",MIN(H31,H70))</f>
        <v/>
      </c>
      <c r="I32" s="38">
        <f>IF(4&gt;'Summary &amp; Assumptions'!$C$23,"",MIN(I31,I70))</f>
        <v/>
      </c>
      <c r="J32" s="38">
        <f>IF(5&gt;'Summary &amp; Assumptions'!$C$23,"",MIN(J31,J70))</f>
        <v/>
      </c>
      <c r="K32" s="38">
        <f>IF(6&gt;'Summary &amp; Assumptions'!$C$23,"",MIN(K31,K70))</f>
        <v/>
      </c>
      <c r="L32" s="38">
        <f>IF(7&gt;'Summary &amp; Assumptions'!$C$23,"",MIN(L31,L70))</f>
        <v/>
      </c>
      <c r="M32" s="38">
        <f>IF(8&gt;'Summary &amp; Assumptions'!$C$23,"",MIN(M31,M70))</f>
        <v/>
      </c>
      <c r="N32" s="38">
        <f>IF(9&gt;'Summary &amp; Assumptions'!$C$23,"",MIN(N31,N70))</f>
        <v/>
      </c>
      <c r="O32" s="38">
        <f>IF(10&gt;'Summary &amp; Assumptions'!$C$23,"",MIN(O31,O70))</f>
        <v/>
      </c>
      <c r="P32" s="38">
        <f>IF(11&gt;'Summary &amp; Assumptions'!$C$23,"",MIN(P31,P70))</f>
        <v/>
      </c>
      <c r="Q32" s="38">
        <f>IF(12&gt;'Summary &amp; Assumptions'!$C$23,"",MIN(Q31,Q70))</f>
        <v/>
      </c>
      <c r="R32" s="38">
        <f>IF(13&gt;'Summary &amp; Assumptions'!$C$23,"",MIN(R31,R70))</f>
        <v/>
      </c>
      <c r="S32" s="38">
        <f>IF(14&gt;'Summary &amp; Assumptions'!$C$23,"",MIN(S31,S70))</f>
        <v/>
      </c>
      <c r="T32" s="38">
        <f>IF(15&gt;'Summary &amp; Assumptions'!$C$23,"",MIN(T31,T70))</f>
        <v/>
      </c>
    </row>
    <row r="33">
      <c r="A33" s="1" t="n"/>
      <c r="B33" s="8" t="inlineStr">
        <is>
          <t>Return of Capital</t>
        </is>
      </c>
      <c r="C33" s="1" t="n"/>
      <c r="D33" s="1" t="n"/>
      <c r="E33" s="1" t="n"/>
      <c r="F33" s="38">
        <f>IF(1&gt;'Summary &amp; Assumptions'!$C$23,"",MIN(MAX(0,F31-F32),F68))</f>
        <v/>
      </c>
      <c r="G33" s="38">
        <f>IF(2&gt;'Summary &amp; Assumptions'!$C$23,"",MIN(MAX(0,G31-G32),G68))</f>
        <v/>
      </c>
      <c r="H33" s="38">
        <f>IF(3&gt;'Summary &amp; Assumptions'!$C$23,"",MIN(MAX(0,H31-H32),H68))</f>
        <v/>
      </c>
      <c r="I33" s="38">
        <f>IF(4&gt;'Summary &amp; Assumptions'!$C$23,"",MIN(MAX(0,I31-I32),I68))</f>
        <v/>
      </c>
      <c r="J33" s="38">
        <f>IF(5&gt;'Summary &amp; Assumptions'!$C$23,"",MIN(MAX(0,J31-J32),J68))</f>
        <v/>
      </c>
      <c r="K33" s="38">
        <f>IF(6&gt;'Summary &amp; Assumptions'!$C$23,"",MIN(MAX(0,K31-K32),K68))</f>
        <v/>
      </c>
      <c r="L33" s="38">
        <f>IF(7&gt;'Summary &amp; Assumptions'!$C$23,"",MIN(MAX(0,L31-L32),L68))</f>
        <v/>
      </c>
      <c r="M33" s="38">
        <f>IF(8&gt;'Summary &amp; Assumptions'!$C$23,"",MIN(MAX(0,M31-M32),M68))</f>
        <v/>
      </c>
      <c r="N33" s="38">
        <f>IF(9&gt;'Summary &amp; Assumptions'!$C$23,"",MIN(MAX(0,N31-N32),N68))</f>
        <v/>
      </c>
      <c r="O33" s="38">
        <f>IF(10&gt;'Summary &amp; Assumptions'!$C$23,"",MIN(MAX(0,O31-O32),O68))</f>
        <v/>
      </c>
      <c r="P33" s="38">
        <f>IF(11&gt;'Summary &amp; Assumptions'!$C$23,"",MIN(MAX(0,P31-P32),P68))</f>
        <v/>
      </c>
      <c r="Q33" s="38">
        <f>IF(12&gt;'Summary &amp; Assumptions'!$C$23,"",MIN(MAX(0,Q31-Q32),Q68))</f>
        <v/>
      </c>
      <c r="R33" s="38">
        <f>IF(13&gt;'Summary &amp; Assumptions'!$C$23,"",MIN(MAX(0,R31-R32),R68))</f>
        <v/>
      </c>
      <c r="S33" s="38">
        <f>IF(14&gt;'Summary &amp; Assumptions'!$C$23,"",MIN(MAX(0,S31-S32),S68))</f>
        <v/>
      </c>
      <c r="T33" s="38">
        <f>IF(15&gt;'Summary &amp; Assumptions'!$C$23,"",MIN(MAX(0,T31-T32),T68))</f>
        <v/>
      </c>
    </row>
    <row r="34">
      <c r="A34" s="1" t="n"/>
      <c r="B34" s="8" t="inlineStr">
        <is>
          <t>GP Catch-Up</t>
        </is>
      </c>
      <c r="C34" s="1" t="n"/>
      <c r="D34" s="1" t="n"/>
      <c r="E34" s="1" t="n"/>
      <c r="F34" s="38">
        <f>IF(1&gt;'Summary &amp; Assumptions'!$C$23,"",0)</f>
        <v/>
      </c>
      <c r="G34" s="38">
        <f>IF(2&gt;'Summary &amp; Assumptions'!$C$23,"",0)</f>
        <v/>
      </c>
      <c r="H34" s="38">
        <f>IF(3&gt;'Summary &amp; Assumptions'!$C$23,"",0)</f>
        <v/>
      </c>
      <c r="I34" s="38">
        <f>IF(4&gt;'Summary &amp; Assumptions'!$C$23,"",0)</f>
        <v/>
      </c>
      <c r="J34" s="38">
        <f>IF(5&gt;'Summary &amp; Assumptions'!$C$23,"",0)</f>
        <v/>
      </c>
      <c r="K34" s="38">
        <f>IF(6&gt;'Summary &amp; Assumptions'!$C$23,"",0)</f>
        <v/>
      </c>
      <c r="L34" s="38">
        <f>IF(7&gt;'Summary &amp; Assumptions'!$C$23,"",0)</f>
        <v/>
      </c>
      <c r="M34" s="38">
        <f>IF(8&gt;'Summary &amp; Assumptions'!$C$23,"",0)</f>
        <v/>
      </c>
      <c r="N34" s="38">
        <f>IF(9&gt;'Summary &amp; Assumptions'!$C$23,"",0)</f>
        <v/>
      </c>
      <c r="O34" s="38">
        <f>IF(10&gt;'Summary &amp; Assumptions'!$C$23,"",0)</f>
        <v/>
      </c>
      <c r="P34" s="38">
        <f>IF(11&gt;'Summary &amp; Assumptions'!$C$23,"",0)</f>
        <v/>
      </c>
      <c r="Q34" s="38">
        <f>IF(12&gt;'Summary &amp; Assumptions'!$C$23,"",0)</f>
        <v/>
      </c>
      <c r="R34" s="38">
        <f>IF(13&gt;'Summary &amp; Assumptions'!$C$23,"",0)</f>
        <v/>
      </c>
      <c r="S34" s="38">
        <f>IF(14&gt;'Summary &amp; Assumptions'!$C$23,"",0)</f>
        <v/>
      </c>
      <c r="T34" s="38">
        <f>IF(15&gt;'Summary &amp; Assumptions'!$C$23,"",0)</f>
        <v/>
      </c>
    </row>
    <row r="35">
      <c r="A35" s="1" t="n"/>
      <c r="B35" s="8" t="inlineStr">
        <is>
          <t>Tier 2 Distributions</t>
        </is>
      </c>
      <c r="C35" s="1" t="n"/>
      <c r="D35" s="1" t="n"/>
      <c r="E35" s="1" t="n"/>
      <c r="F35" s="38">
        <f>IF(1&gt;'Summary &amp; Assumptions'!$C$23,"",MAX(0,F31-F32-F33))</f>
        <v/>
      </c>
      <c r="G35" s="38">
        <f>IF(2&gt;'Summary &amp; Assumptions'!$C$23,"",MAX(0,G31-G32-G33))</f>
        <v/>
      </c>
      <c r="H35" s="38">
        <f>IF(3&gt;'Summary &amp; Assumptions'!$C$23,"",MAX(0,H31-H32-H33))</f>
        <v/>
      </c>
      <c r="I35" s="38">
        <f>IF(4&gt;'Summary &amp; Assumptions'!$C$23,"",MAX(0,I31-I32-I33))</f>
        <v/>
      </c>
      <c r="J35" s="38">
        <f>IF(5&gt;'Summary &amp; Assumptions'!$C$23,"",MAX(0,J31-J32-J33))</f>
        <v/>
      </c>
      <c r="K35" s="38">
        <f>IF(6&gt;'Summary &amp; Assumptions'!$C$23,"",MAX(0,K31-K32-K33))</f>
        <v/>
      </c>
      <c r="L35" s="38">
        <f>IF(7&gt;'Summary &amp; Assumptions'!$C$23,"",MAX(0,L31-L32-L33))</f>
        <v/>
      </c>
      <c r="M35" s="38">
        <f>IF(8&gt;'Summary &amp; Assumptions'!$C$23,"",MAX(0,M31-M32-M33))</f>
        <v/>
      </c>
      <c r="N35" s="38">
        <f>IF(9&gt;'Summary &amp; Assumptions'!$C$23,"",MAX(0,N31-N32-N33))</f>
        <v/>
      </c>
      <c r="O35" s="38">
        <f>IF(10&gt;'Summary &amp; Assumptions'!$C$23,"",MAX(0,O31-O32-O33))</f>
        <v/>
      </c>
      <c r="P35" s="38">
        <f>IF(11&gt;'Summary &amp; Assumptions'!$C$23,"",MAX(0,P31-P32-P33))</f>
        <v/>
      </c>
      <c r="Q35" s="38">
        <f>IF(12&gt;'Summary &amp; Assumptions'!$C$23,"",MAX(0,Q31-Q32-Q33))</f>
        <v/>
      </c>
      <c r="R35" s="38">
        <f>IF(13&gt;'Summary &amp; Assumptions'!$C$23,"",MAX(0,R31-R32-R33))</f>
        <v/>
      </c>
      <c r="S35" s="38">
        <f>IF(14&gt;'Summary &amp; Assumptions'!$C$23,"",MAX(0,S31-S32-S33))</f>
        <v/>
      </c>
      <c r="T35" s="38">
        <f>IF(15&gt;'Summary &amp; Assumptions'!$C$23,"",MAX(0,T31-T32-T33))</f>
        <v/>
      </c>
    </row>
    <row r="36">
      <c r="A36" s="1" t="n"/>
      <c r="B36" s="8" t="inlineStr">
        <is>
          <t>Tier 3 Distributions</t>
        </is>
      </c>
      <c r="C36" s="1" t="n"/>
      <c r="D36" s="1" t="n"/>
      <c r="E36" s="1" t="n"/>
      <c r="F36" s="38">
        <f>IF(1&gt;'Summary &amp; Assumptions'!$C$23,"",0)</f>
        <v/>
      </c>
      <c r="G36" s="38">
        <f>IF(2&gt;'Summary &amp; Assumptions'!$C$23,"",0)</f>
        <v/>
      </c>
      <c r="H36" s="38">
        <f>IF(3&gt;'Summary &amp; Assumptions'!$C$23,"",0)</f>
        <v/>
      </c>
      <c r="I36" s="38">
        <f>IF(4&gt;'Summary &amp; Assumptions'!$C$23,"",0)</f>
        <v/>
      </c>
      <c r="J36" s="38">
        <f>IF(5&gt;'Summary &amp; Assumptions'!$C$23,"",0)</f>
        <v/>
      </c>
      <c r="K36" s="38">
        <f>IF(6&gt;'Summary &amp; Assumptions'!$C$23,"",0)</f>
        <v/>
      </c>
      <c r="L36" s="38">
        <f>IF(7&gt;'Summary &amp; Assumptions'!$C$23,"",0)</f>
        <v/>
      </c>
      <c r="M36" s="38">
        <f>IF(8&gt;'Summary &amp; Assumptions'!$C$23,"",0)</f>
        <v/>
      </c>
      <c r="N36" s="38">
        <f>IF(9&gt;'Summary &amp; Assumptions'!$C$23,"",0)</f>
        <v/>
      </c>
      <c r="O36" s="38">
        <f>IF(10&gt;'Summary &amp; Assumptions'!$C$23,"",0)</f>
        <v/>
      </c>
      <c r="P36" s="38">
        <f>IF(11&gt;'Summary &amp; Assumptions'!$C$23,"",0)</f>
        <v/>
      </c>
      <c r="Q36" s="38">
        <f>IF(12&gt;'Summary &amp; Assumptions'!$C$23,"",0)</f>
        <v/>
      </c>
      <c r="R36" s="38">
        <f>IF(13&gt;'Summary &amp; Assumptions'!$C$23,"",0)</f>
        <v/>
      </c>
      <c r="S36" s="38">
        <f>IF(14&gt;'Summary &amp; Assumptions'!$C$23,"",0)</f>
        <v/>
      </c>
      <c r="T36" s="38">
        <f>IF(15&gt;'Summary &amp; Assumptions'!$C$23,"",0)</f>
        <v/>
      </c>
    </row>
    <row r="37">
      <c r="A37" s="1" t="n"/>
      <c r="B37" s="8" t="inlineStr">
        <is>
          <t>Tier 4 Distributions</t>
        </is>
      </c>
      <c r="C37" s="1" t="n"/>
      <c r="D37" s="1" t="n"/>
      <c r="E37" s="1" t="n"/>
      <c r="F37" s="38">
        <f>IF(1&gt;'Summary &amp; Assumptions'!$C$23,"",0)</f>
        <v/>
      </c>
      <c r="G37" s="38">
        <f>IF(2&gt;'Summary &amp; Assumptions'!$C$23,"",0)</f>
        <v/>
      </c>
      <c r="H37" s="38">
        <f>IF(3&gt;'Summary &amp; Assumptions'!$C$23,"",0)</f>
        <v/>
      </c>
      <c r="I37" s="38">
        <f>IF(4&gt;'Summary &amp; Assumptions'!$C$23,"",0)</f>
        <v/>
      </c>
      <c r="J37" s="38">
        <f>IF(5&gt;'Summary &amp; Assumptions'!$C$23,"",0)</f>
        <v/>
      </c>
      <c r="K37" s="38">
        <f>IF(6&gt;'Summary &amp; Assumptions'!$C$23,"",0)</f>
        <v/>
      </c>
      <c r="L37" s="38">
        <f>IF(7&gt;'Summary &amp; Assumptions'!$C$23,"",0)</f>
        <v/>
      </c>
      <c r="M37" s="38">
        <f>IF(8&gt;'Summary &amp; Assumptions'!$C$23,"",0)</f>
        <v/>
      </c>
      <c r="N37" s="38">
        <f>IF(9&gt;'Summary &amp; Assumptions'!$C$23,"",0)</f>
        <v/>
      </c>
      <c r="O37" s="38">
        <f>IF(10&gt;'Summary &amp; Assumptions'!$C$23,"",0)</f>
        <v/>
      </c>
      <c r="P37" s="38">
        <f>IF(11&gt;'Summary &amp; Assumptions'!$C$23,"",0)</f>
        <v/>
      </c>
      <c r="Q37" s="38">
        <f>IF(12&gt;'Summary &amp; Assumptions'!$C$23,"",0)</f>
        <v/>
      </c>
      <c r="R37" s="38">
        <f>IF(13&gt;'Summary &amp; Assumptions'!$C$23,"",0)</f>
        <v/>
      </c>
      <c r="S37" s="38">
        <f>IF(14&gt;'Summary &amp; Assumptions'!$C$23,"",0)</f>
        <v/>
      </c>
      <c r="T37" s="38">
        <f>IF(15&gt;'Summary &amp; Assumptions'!$C$23,"",0)</f>
        <v/>
      </c>
    </row>
    <row r="38">
      <c r="A38" s="1" t="n"/>
      <c r="B38" s="8" t="inlineStr">
        <is>
          <t>Residual Distributions</t>
        </is>
      </c>
      <c r="C38" s="1" t="n"/>
      <c r="D38" s="1" t="n"/>
      <c r="E38" s="1" t="n"/>
      <c r="F38" s="38">
        <f>IF(1&gt;'Summary &amp; Assumptions'!$C$23,"",0)</f>
        <v/>
      </c>
      <c r="G38" s="38">
        <f>IF(2&gt;'Summary &amp; Assumptions'!$C$23,"",0)</f>
        <v/>
      </c>
      <c r="H38" s="38">
        <f>IF(3&gt;'Summary &amp; Assumptions'!$C$23,"",0)</f>
        <v/>
      </c>
      <c r="I38" s="38">
        <f>IF(4&gt;'Summary &amp; Assumptions'!$C$23,"",0)</f>
        <v/>
      </c>
      <c r="J38" s="38">
        <f>IF(5&gt;'Summary &amp; Assumptions'!$C$23,"",0)</f>
        <v/>
      </c>
      <c r="K38" s="38">
        <f>IF(6&gt;'Summary &amp; Assumptions'!$C$23,"",0)</f>
        <v/>
      </c>
      <c r="L38" s="38">
        <f>IF(7&gt;'Summary &amp; Assumptions'!$C$23,"",0)</f>
        <v/>
      </c>
      <c r="M38" s="38">
        <f>IF(8&gt;'Summary &amp; Assumptions'!$C$23,"",0)</f>
        <v/>
      </c>
      <c r="N38" s="38">
        <f>IF(9&gt;'Summary &amp; Assumptions'!$C$23,"",0)</f>
        <v/>
      </c>
      <c r="O38" s="38">
        <f>IF(10&gt;'Summary &amp; Assumptions'!$C$23,"",0)</f>
        <v/>
      </c>
      <c r="P38" s="38">
        <f>IF(11&gt;'Summary &amp; Assumptions'!$C$23,"",0)</f>
        <v/>
      </c>
      <c r="Q38" s="38">
        <f>IF(12&gt;'Summary &amp; Assumptions'!$C$23,"",0)</f>
        <v/>
      </c>
      <c r="R38" s="38">
        <f>IF(13&gt;'Summary &amp; Assumptions'!$C$23,"",0)</f>
        <v/>
      </c>
      <c r="S38" s="38">
        <f>IF(14&gt;'Summary &amp; Assumptions'!$C$23,"",0)</f>
        <v/>
      </c>
      <c r="T38" s="38">
        <f>IF(15&gt;'Summary &amp; Assumptions'!$C$23,"",0)</f>
        <v/>
      </c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</row>
    <row r="40">
      <c r="A40" s="1" t="n"/>
      <c r="B40" s="17" t="inlineStr">
        <is>
          <t>To LP</t>
        </is>
      </c>
      <c r="C40" s="1" t="n"/>
      <c r="D40" s="1" t="n"/>
      <c r="E40" s="38">
        <f>-'Summary &amp; Assumptions'!$C$67</f>
        <v/>
      </c>
      <c r="F40" s="39">
        <f>IF(1&gt;'Summary &amp; Assumptions'!$C$23,"",(F32+F33)*'Investor Waterfall'!$C$7+F35*(1-IF('Investor Waterfall'!$C$8="Pari Passu after Pref",0,'Investor Waterfall'!$C$15))*'Investor Waterfall'!$C$7)</f>
        <v/>
      </c>
      <c r="G40" s="39">
        <f>IF(2&gt;'Summary &amp; Assumptions'!$C$23,"",(G32+G33)*'Investor Waterfall'!$C$7+G35*(1-IF('Investor Waterfall'!$C$8="Pari Passu after Pref",0,'Investor Waterfall'!$C$15))*'Investor Waterfall'!$C$7)</f>
        <v/>
      </c>
      <c r="H40" s="39">
        <f>IF(3&gt;'Summary &amp; Assumptions'!$C$23,"",(H32+H33)*'Investor Waterfall'!$C$7+H35*(1-IF('Investor Waterfall'!$C$8="Pari Passu after Pref",0,'Investor Waterfall'!$C$15))*'Investor Waterfall'!$C$7)</f>
        <v/>
      </c>
      <c r="I40" s="39">
        <f>IF(4&gt;'Summary &amp; Assumptions'!$C$23,"",(I32+I33)*'Investor Waterfall'!$C$7+I35*(1-IF('Investor Waterfall'!$C$8="Pari Passu after Pref",0,'Investor Waterfall'!$C$15))*'Investor Waterfall'!$C$7)</f>
        <v/>
      </c>
      <c r="J40" s="39">
        <f>IF(5&gt;'Summary &amp; Assumptions'!$C$23,"",(J32+J33)*'Investor Waterfall'!$C$7+J35*(1-IF('Investor Waterfall'!$C$8="Pari Passu after Pref",0,'Investor Waterfall'!$C$15))*'Investor Waterfall'!$C$7)</f>
        <v/>
      </c>
      <c r="K40" s="39">
        <f>IF(6&gt;'Summary &amp; Assumptions'!$C$23,"",(K32+K33)*'Investor Waterfall'!$C$7+K35*(1-IF('Investor Waterfall'!$C$8="Pari Passu after Pref",0,'Investor Waterfall'!$C$15))*'Investor Waterfall'!$C$7)</f>
        <v/>
      </c>
      <c r="L40" s="39">
        <f>IF(7&gt;'Summary &amp; Assumptions'!$C$23,"",(L32+L33)*'Investor Waterfall'!$C$7+L35*(1-IF('Investor Waterfall'!$C$8="Pari Passu after Pref",0,'Investor Waterfall'!$C$15))*'Investor Waterfall'!$C$7)</f>
        <v/>
      </c>
      <c r="M40" s="39">
        <f>IF(8&gt;'Summary &amp; Assumptions'!$C$23,"",(M32+M33)*'Investor Waterfall'!$C$7+M35*(1-IF('Investor Waterfall'!$C$8="Pari Passu after Pref",0,'Investor Waterfall'!$C$15))*'Investor Waterfall'!$C$7)</f>
        <v/>
      </c>
      <c r="N40" s="39">
        <f>IF(9&gt;'Summary &amp; Assumptions'!$C$23,"",(N32+N33)*'Investor Waterfall'!$C$7+N35*(1-IF('Investor Waterfall'!$C$8="Pari Passu after Pref",0,'Investor Waterfall'!$C$15))*'Investor Waterfall'!$C$7)</f>
        <v/>
      </c>
      <c r="O40" s="39">
        <f>IF(10&gt;'Summary &amp; Assumptions'!$C$23,"",(O32+O33)*'Investor Waterfall'!$C$7+O35*(1-IF('Investor Waterfall'!$C$8="Pari Passu after Pref",0,'Investor Waterfall'!$C$15))*'Investor Waterfall'!$C$7)</f>
        <v/>
      </c>
      <c r="P40" s="39">
        <f>IF(11&gt;'Summary &amp; Assumptions'!$C$23,"",(P32+P33)*'Investor Waterfall'!$C$7+P35*(1-IF('Investor Waterfall'!$C$8="Pari Passu after Pref",0,'Investor Waterfall'!$C$15))*'Investor Waterfall'!$C$7)</f>
        <v/>
      </c>
      <c r="Q40" s="39">
        <f>IF(12&gt;'Summary &amp; Assumptions'!$C$23,"",(Q32+Q33)*'Investor Waterfall'!$C$7+Q35*(1-IF('Investor Waterfall'!$C$8="Pari Passu after Pref",0,'Investor Waterfall'!$C$15))*'Investor Waterfall'!$C$7)</f>
        <v/>
      </c>
      <c r="R40" s="39">
        <f>IF(13&gt;'Summary &amp; Assumptions'!$C$23,"",(R32+R33)*'Investor Waterfall'!$C$7+R35*(1-IF('Investor Waterfall'!$C$8="Pari Passu after Pref",0,'Investor Waterfall'!$C$15))*'Investor Waterfall'!$C$7)</f>
        <v/>
      </c>
      <c r="S40" s="39">
        <f>IF(14&gt;'Summary &amp; Assumptions'!$C$23,"",(S32+S33)*'Investor Waterfall'!$C$7+S35*(1-IF('Investor Waterfall'!$C$8="Pari Passu after Pref",0,'Investor Waterfall'!$C$15))*'Investor Waterfall'!$C$7)</f>
        <v/>
      </c>
      <c r="T40" s="39">
        <f>IF(15&gt;'Summary &amp; Assumptions'!$C$23,"",(T32+T33)*'Investor Waterfall'!$C$7+T35*(1-IF('Investor Waterfall'!$C$8="Pari Passu after Pref",0,'Investor Waterfall'!$C$15))*'Investor Waterfall'!$C$7)</f>
        <v/>
      </c>
    </row>
    <row r="41">
      <c r="A41" s="1" t="n"/>
      <c r="B41" s="17" t="inlineStr">
        <is>
          <t>To GP</t>
        </is>
      </c>
      <c r="C41" s="1" t="n"/>
      <c r="D41" s="1" t="n"/>
      <c r="E41" s="38">
        <f>-'Summary &amp; Assumptions'!$C$66</f>
        <v/>
      </c>
      <c r="F41" s="39">
        <f>IF(1&gt;'Summary &amp; Assumptions'!$C$23,"",F31-F40)</f>
        <v/>
      </c>
      <c r="G41" s="39">
        <f>IF(2&gt;'Summary &amp; Assumptions'!$C$23,"",G31-G40)</f>
        <v/>
      </c>
      <c r="H41" s="39">
        <f>IF(3&gt;'Summary &amp; Assumptions'!$C$23,"",H31-H40)</f>
        <v/>
      </c>
      <c r="I41" s="39">
        <f>IF(4&gt;'Summary &amp; Assumptions'!$C$23,"",I31-I40)</f>
        <v/>
      </c>
      <c r="J41" s="39">
        <f>IF(5&gt;'Summary &amp; Assumptions'!$C$23,"",J31-J40)</f>
        <v/>
      </c>
      <c r="K41" s="39">
        <f>IF(6&gt;'Summary &amp; Assumptions'!$C$23,"",K31-K40)</f>
        <v/>
      </c>
      <c r="L41" s="39">
        <f>IF(7&gt;'Summary &amp; Assumptions'!$C$23,"",L31-L40)</f>
        <v/>
      </c>
      <c r="M41" s="39">
        <f>IF(8&gt;'Summary &amp; Assumptions'!$C$23,"",M31-M40)</f>
        <v/>
      </c>
      <c r="N41" s="39">
        <f>IF(9&gt;'Summary &amp; Assumptions'!$C$23,"",N31-N40)</f>
        <v/>
      </c>
      <c r="O41" s="39">
        <f>IF(10&gt;'Summary &amp; Assumptions'!$C$23,"",O31-O40)</f>
        <v/>
      </c>
      <c r="P41" s="39">
        <f>IF(11&gt;'Summary &amp; Assumptions'!$C$23,"",P31-P40)</f>
        <v/>
      </c>
      <c r="Q41" s="39">
        <f>IF(12&gt;'Summary &amp; Assumptions'!$C$23,"",Q31-Q40)</f>
        <v/>
      </c>
      <c r="R41" s="39">
        <f>IF(13&gt;'Summary &amp; Assumptions'!$C$23,"",R31-R40)</f>
        <v/>
      </c>
      <c r="S41" s="39">
        <f>IF(14&gt;'Summary &amp; Assumptions'!$C$23,"",S31-S40)</f>
        <v/>
      </c>
      <c r="T41" s="39">
        <f>IF(15&gt;'Summary &amp; Assumptions'!$C$23,"",T31-T40)</f>
        <v/>
      </c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</row>
    <row r="43">
      <c r="A43" s="1" t="n"/>
      <c r="B43" s="6" t="inlineStr">
        <is>
          <t>Partner Outcomes</t>
        </is>
      </c>
      <c r="C43" s="7" t="n"/>
      <c r="D43" s="7" t="n"/>
      <c r="E43" s="7" t="n"/>
      <c r="F43" s="7" t="n"/>
      <c r="G43" s="7" t="n"/>
      <c r="H43" s="7" t="n"/>
      <c r="I43" s="7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</row>
    <row r="44">
      <c r="A44" s="1" t="n"/>
      <c r="B44" s="8" t="inlineStr">
        <is>
          <t>LP Contributions</t>
        </is>
      </c>
      <c r="C44" s="1" t="n"/>
      <c r="D44" s="26">
        <f>'Summary &amp; Assumptions'!$C$67</f>
        <v/>
      </c>
      <c r="E44" s="1" t="n"/>
      <c r="F44" s="1" t="n"/>
      <c r="G44" s="8" t="inlineStr">
        <is>
          <t>GP Contributions</t>
        </is>
      </c>
      <c r="H44" s="1" t="n"/>
      <c r="I44" s="26">
        <f>'Summary &amp; Assumptions'!$C$66</f>
        <v/>
      </c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</row>
    <row r="45">
      <c r="A45" s="1" t="n"/>
      <c r="B45" s="8" t="inlineStr">
        <is>
          <t>LP Net IRR</t>
        </is>
      </c>
      <c r="C45" s="1" t="n"/>
      <c r="D45" s="23">
        <f>IF(OR('Summary &amp; Assumptions'!$H$6&lt;=0,'P&amp;L'!$Z$69&lt;=0),0,IFERROR(IRR($E$40:$T$40),0))</f>
        <v/>
      </c>
      <c r="E45" s="1" t="n"/>
      <c r="F45" s="1" t="n"/>
      <c r="G45" s="8" t="inlineStr">
        <is>
          <t>GP IRR (equity + promote)</t>
        </is>
      </c>
      <c r="H45" s="1" t="n"/>
      <c r="I45" s="23">
        <f>IF(OR('Summary &amp; Assumptions'!$H$6&lt;=0,'P&amp;L'!$Z$69&lt;=0),0,IFERROR(IRR($E$41:$T$41),0))</f>
        <v/>
      </c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</row>
    <row r="46">
      <c r="A46" s="1" t="n"/>
      <c r="B46" s="8" t="inlineStr">
        <is>
          <t>LP Equity Multiple</t>
        </is>
      </c>
      <c r="C46" s="1" t="n"/>
      <c r="D46" s="25">
        <f>IF(OR('Summary &amp; Assumptions'!$H$6&lt;=0,'P&amp;L'!$Z$69&lt;=0),0,IFERROR(SUMIF($E$40:$T$40,"&gt;0")/-SUMIF($E$40:$T$40,"&lt;0"),0))</f>
        <v/>
      </c>
      <c r="E46" s="1" t="n"/>
      <c r="F46" s="1" t="n"/>
      <c r="G46" s="8" t="inlineStr">
        <is>
          <t>GP Equity Multiple</t>
        </is>
      </c>
      <c r="H46" s="1" t="n"/>
      <c r="I46" s="25">
        <f>IF(OR('Summary &amp; Assumptions'!$H$6&lt;=0,'P&amp;L'!$Z$69&lt;=0),0,IFERROR(SUMIF($E$41:$T$41,"&gt;0")/-SUMIF($E$41:$T$41,"&lt;0"),0))</f>
        <v/>
      </c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</row>
    <row r="47">
      <c r="A47" s="1" t="n"/>
      <c r="B47" s="8" t="inlineStr">
        <is>
          <t>LP Total Distributions</t>
        </is>
      </c>
      <c r="C47" s="1" t="n"/>
      <c r="D47" s="26">
        <f>SUMIF($E$40:$T$40,"&gt;0")</f>
        <v/>
      </c>
      <c r="E47" s="1" t="n"/>
      <c r="F47" s="1" t="n"/>
      <c r="G47" s="8" t="inlineStr">
        <is>
          <t>GP Total Distributions</t>
        </is>
      </c>
      <c r="H47" s="1" t="n"/>
      <c r="I47" s="26">
        <f>SUMIF($E$41:$T$41,"&gt;0")</f>
        <v/>
      </c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</row>
    <row r="48">
      <c r="A48" s="1" t="n"/>
      <c r="B48" s="8" t="inlineStr">
        <is>
          <t>LP Simple Avg Annual Return</t>
        </is>
      </c>
      <c r="C48" s="1" t="n"/>
      <c r="D48" s="23">
        <f>IF(OR('Summary &amp; Assumptions'!$H$6&lt;=0,'P&amp;L'!$Z$69&lt;=0),0,IF('Summary &amp; Assumptions'!$C$67&lt;=0,0,IFERROR((D46-1)/MAX(1,'Summary &amp; Assumptions'!$C$23),0)))</f>
        <v/>
      </c>
      <c r="E48" s="1" t="n"/>
      <c r="F48" s="1" t="n"/>
      <c r="G48" s="8" t="inlineStr">
        <is>
          <t>Fee/Promote Drag (gross − net)</t>
        </is>
      </c>
      <c r="H48" s="1" t="n"/>
      <c r="I48" s="23">
        <f>'CashFlow'!$D$41-D45</f>
        <v/>
      </c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</row>
    <row r="50">
      <c r="A50" s="1" t="n"/>
      <c r="B50" s="6" t="inlineStr">
        <is>
          <t>Partnership Structure</t>
        </is>
      </c>
      <c r="C50" s="7" t="n"/>
      <c r="D50" s="7" t="n"/>
      <c r="E50" s="7" t="n"/>
      <c r="F50" s="7" t="n"/>
      <c r="G50" s="7" t="n"/>
      <c r="H50" s="7" t="n"/>
      <c r="I50" s="7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</row>
    <row r="51">
      <c r="A51" s="1" t="n"/>
      <c r="B51" s="8" t="inlineStr">
        <is>
          <t>Preferred Return</t>
        </is>
      </c>
      <c r="C51" s="1" t="n"/>
      <c r="D51" s="23">
        <f>'Investor Waterfall'!$C$9</f>
        <v/>
      </c>
      <c r="E51" s="1" t="n"/>
      <c r="F51" s="1" t="n"/>
      <c r="G51" s="8" t="inlineStr">
        <is>
          <t>GP Co-Invest</t>
        </is>
      </c>
      <c r="H51" s="1" t="n"/>
      <c r="I51" s="31">
        <f>'Investor Waterfall'!$C$6</f>
        <v/>
      </c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</row>
    <row r="52">
      <c r="A52" s="1" t="n"/>
      <c r="B52" s="8" t="inlineStr">
        <is>
          <t>Pref Type</t>
        </is>
      </c>
      <c r="C52" s="1" t="n"/>
      <c r="D52" s="74">
        <f>'Investor Waterfall'!$C$10</f>
        <v/>
      </c>
      <c r="E52" s="1" t="n"/>
      <c r="F52" s="1" t="n"/>
      <c r="G52" s="8" t="inlineStr">
        <is>
          <t>Asset Mgmt Fee</t>
        </is>
      </c>
      <c r="H52" s="1" t="n"/>
      <c r="I52" s="74">
        <f>TEXT('Investor Waterfall'!$H$8,"0.00%")&amp;" "&amp;'Investor Waterfall'!$H$7</f>
        <v/>
      </c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</row>
    <row r="53">
      <c r="A53" s="1" t="n"/>
      <c r="B53" s="8" t="inlineStr">
        <is>
          <t>Waterfall</t>
        </is>
      </c>
      <c r="C53" s="1" t="n"/>
      <c r="D53" s="74">
        <f>'Investor Waterfall'!$C$8</f>
        <v/>
      </c>
      <c r="E53" s="1" t="n"/>
      <c r="F53" s="1" t="n"/>
      <c r="G53" s="8" t="inlineStr">
        <is>
          <t>Acquisition Fee</t>
        </is>
      </c>
      <c r="H53" s="1" t="n"/>
      <c r="I53" s="23">
        <f>'Investor Waterfall'!$H$6</f>
        <v/>
      </c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</row>
    <row r="55">
      <c r="A55" s="1" t="n"/>
      <c r="B55" s="6" t="inlineStr">
        <is>
          <t>If You Invest $100,000 as an LP</t>
        </is>
      </c>
      <c r="C55" s="7" t="n"/>
      <c r="D55" s="7" t="n"/>
      <c r="E55" s="7" t="n"/>
      <c r="F55" s="7" t="n"/>
      <c r="G55" s="7" t="n"/>
      <c r="H55" s="7" t="n"/>
      <c r="I55" s="7" t="n"/>
      <c r="J55" s="7" t="n"/>
      <c r="K55" s="7" t="n"/>
      <c r="L55" s="7" t="n"/>
      <c r="M55" s="7" t="n"/>
      <c r="N55" s="7" t="n"/>
      <c r="O55" s="7" t="n"/>
      <c r="P55" s="7" t="n"/>
      <c r="Q55" s="7" t="n"/>
      <c r="R55" s="7" t="n"/>
      <c r="S55" s="1" t="n"/>
      <c r="T55" s="1" t="n"/>
    </row>
    <row r="56">
      <c r="A56" s="1" t="n"/>
      <c r="B56" s="8" t="inlineStr"/>
      <c r="C56" s="1" t="n"/>
      <c r="D56" s="1" t="n"/>
      <c r="E56" s="1" t="n"/>
      <c r="F56" s="22">
        <f>IF(1&gt;'Summary &amp; Assumptions'!$C$23,"","Year 1")</f>
        <v/>
      </c>
      <c r="G56" s="22">
        <f>IF(2&gt;'Summary &amp; Assumptions'!$C$23,"","Year 2")</f>
        <v/>
      </c>
      <c r="H56" s="22">
        <f>IF(3&gt;'Summary &amp; Assumptions'!$C$23,"","Year 3")</f>
        <v/>
      </c>
      <c r="I56" s="22">
        <f>IF(4&gt;'Summary &amp; Assumptions'!$C$23,"","Year 4")</f>
        <v/>
      </c>
      <c r="J56" s="22">
        <f>IF(5&gt;'Summary &amp; Assumptions'!$C$23,"","Year 5")</f>
        <v/>
      </c>
      <c r="K56" s="22">
        <f>IF(6&gt;'Summary &amp; Assumptions'!$C$23,"","Year 6")</f>
        <v/>
      </c>
      <c r="L56" s="22">
        <f>IF(7&gt;'Summary &amp; Assumptions'!$C$23,"","Year 7")</f>
        <v/>
      </c>
      <c r="M56" s="22">
        <f>IF(8&gt;'Summary &amp; Assumptions'!$C$23,"","Year 8")</f>
        <v/>
      </c>
      <c r="N56" s="22">
        <f>IF(9&gt;'Summary &amp; Assumptions'!$C$23,"","Year 9")</f>
        <v/>
      </c>
      <c r="O56" s="22">
        <f>IF(10&gt;'Summary &amp; Assumptions'!$C$23,"","Year 10")</f>
        <v/>
      </c>
      <c r="P56" s="22">
        <f>IF(11&gt;'Summary &amp; Assumptions'!$C$23,"","Year 11")</f>
        <v/>
      </c>
      <c r="Q56" s="22">
        <f>IF(12&gt;'Summary &amp; Assumptions'!$C$23,"","Year 12")</f>
        <v/>
      </c>
      <c r="R56" s="22">
        <f>IF(13&gt;'Summary &amp; Assumptions'!$C$23,"","Year 13")</f>
        <v/>
      </c>
      <c r="S56" s="22">
        <f>IF(14&gt;'Summary &amp; Assumptions'!$C$23,"","Year 14")</f>
        <v/>
      </c>
      <c r="T56" s="22">
        <f>IF(15&gt;'Summary &amp; Assumptions'!$C$23,"","Year 15")</f>
        <v/>
      </c>
    </row>
    <row r="57">
      <c r="A57" s="1" t="n"/>
      <c r="B57" s="8" t="inlineStr">
        <is>
          <t>Annual Distribution</t>
        </is>
      </c>
      <c r="C57" s="1" t="n"/>
      <c r="D57" s="1" t="n"/>
      <c r="E57" s="1" t="n"/>
      <c r="F57" s="72">
        <f>IF(1&gt;'Summary &amp; Assumptions'!$C$23,"",IFERROR(F40*100000/MAX(1,'Summary &amp; Assumptions'!$C$67),0))</f>
        <v/>
      </c>
      <c r="G57" s="72">
        <f>IF(2&gt;'Summary &amp; Assumptions'!$C$23,"",IFERROR(G40*100000/MAX(1,'Summary &amp; Assumptions'!$C$67),0))</f>
        <v/>
      </c>
      <c r="H57" s="72">
        <f>IF(3&gt;'Summary &amp; Assumptions'!$C$23,"",IFERROR(H40*100000/MAX(1,'Summary &amp; Assumptions'!$C$67),0))</f>
        <v/>
      </c>
      <c r="I57" s="72">
        <f>IF(4&gt;'Summary &amp; Assumptions'!$C$23,"",IFERROR(I40*100000/MAX(1,'Summary &amp; Assumptions'!$C$67),0))</f>
        <v/>
      </c>
      <c r="J57" s="72">
        <f>IF(5&gt;'Summary &amp; Assumptions'!$C$23,"",IFERROR(J40*100000/MAX(1,'Summary &amp; Assumptions'!$C$67),0))</f>
        <v/>
      </c>
      <c r="K57" s="72">
        <f>IF(6&gt;'Summary &amp; Assumptions'!$C$23,"",IFERROR(K40*100000/MAX(1,'Summary &amp; Assumptions'!$C$67),0))</f>
        <v/>
      </c>
      <c r="L57" s="72">
        <f>IF(7&gt;'Summary &amp; Assumptions'!$C$23,"",IFERROR(L40*100000/MAX(1,'Summary &amp; Assumptions'!$C$67),0))</f>
        <v/>
      </c>
      <c r="M57" s="72">
        <f>IF(8&gt;'Summary &amp; Assumptions'!$C$23,"",IFERROR(M40*100000/MAX(1,'Summary &amp; Assumptions'!$C$67),0))</f>
        <v/>
      </c>
      <c r="N57" s="72">
        <f>IF(9&gt;'Summary &amp; Assumptions'!$C$23,"",IFERROR(N40*100000/MAX(1,'Summary &amp; Assumptions'!$C$67),0))</f>
        <v/>
      </c>
      <c r="O57" s="72">
        <f>IF(10&gt;'Summary &amp; Assumptions'!$C$23,"",IFERROR(O40*100000/MAX(1,'Summary &amp; Assumptions'!$C$67),0))</f>
        <v/>
      </c>
      <c r="P57" s="72">
        <f>IF(11&gt;'Summary &amp; Assumptions'!$C$23,"",IFERROR(P40*100000/MAX(1,'Summary &amp; Assumptions'!$C$67),0))</f>
        <v/>
      </c>
      <c r="Q57" s="72">
        <f>IF(12&gt;'Summary &amp; Assumptions'!$C$23,"",IFERROR(Q40*100000/MAX(1,'Summary &amp; Assumptions'!$C$67),0))</f>
        <v/>
      </c>
      <c r="R57" s="72">
        <f>IF(13&gt;'Summary &amp; Assumptions'!$C$23,"",IFERROR(R40*100000/MAX(1,'Summary &amp; Assumptions'!$C$67),0))</f>
        <v/>
      </c>
      <c r="S57" s="72">
        <f>IF(14&gt;'Summary &amp; Assumptions'!$C$23,"",IFERROR(S40*100000/MAX(1,'Summary &amp; Assumptions'!$C$67),0))</f>
        <v/>
      </c>
      <c r="T57" s="72">
        <f>IF(15&gt;'Summary &amp; Assumptions'!$C$23,"",IFERROR(T40*100000/MAX(1,'Summary &amp; Assumptions'!$C$67),0))</f>
        <v/>
      </c>
    </row>
    <row r="58">
      <c r="A58" s="1" t="n"/>
      <c r="B58" s="8" t="inlineStr">
        <is>
          <t>Cumulative</t>
        </is>
      </c>
      <c r="C58" s="1" t="n"/>
      <c r="D58" s="1" t="n"/>
      <c r="E58" s="1" t="n"/>
      <c r="F58" s="72">
        <f>IF(1&gt;'Summary &amp; Assumptions'!$C$23,"",F57)</f>
        <v/>
      </c>
      <c r="G58" s="72">
        <f>IF(2&gt;'Summary &amp; Assumptions'!$C$23,"",G57+F58)</f>
        <v/>
      </c>
      <c r="H58" s="72">
        <f>IF(3&gt;'Summary &amp; Assumptions'!$C$23,"",H57+G58)</f>
        <v/>
      </c>
      <c r="I58" s="72">
        <f>IF(4&gt;'Summary &amp; Assumptions'!$C$23,"",I57+H58)</f>
        <v/>
      </c>
      <c r="J58" s="72">
        <f>IF(5&gt;'Summary &amp; Assumptions'!$C$23,"",J57+I58)</f>
        <v/>
      </c>
      <c r="K58" s="72">
        <f>IF(6&gt;'Summary &amp; Assumptions'!$C$23,"",K57+J58)</f>
        <v/>
      </c>
      <c r="L58" s="72">
        <f>IF(7&gt;'Summary &amp; Assumptions'!$C$23,"",L57+K58)</f>
        <v/>
      </c>
      <c r="M58" s="72">
        <f>IF(8&gt;'Summary &amp; Assumptions'!$C$23,"",M57+L58)</f>
        <v/>
      </c>
      <c r="N58" s="72">
        <f>IF(9&gt;'Summary &amp; Assumptions'!$C$23,"",N57+M58)</f>
        <v/>
      </c>
      <c r="O58" s="72">
        <f>IF(10&gt;'Summary &amp; Assumptions'!$C$23,"",O57+N58)</f>
        <v/>
      </c>
      <c r="P58" s="72">
        <f>IF(11&gt;'Summary &amp; Assumptions'!$C$23,"",P57+O58)</f>
        <v/>
      </c>
      <c r="Q58" s="72">
        <f>IF(12&gt;'Summary &amp; Assumptions'!$C$23,"",Q57+P58)</f>
        <v/>
      </c>
      <c r="R58" s="72">
        <f>IF(13&gt;'Summary &amp; Assumptions'!$C$23,"",R57+Q58)</f>
        <v/>
      </c>
      <c r="S58" s="72">
        <f>IF(14&gt;'Summary &amp; Assumptions'!$C$23,"",S57+R58)</f>
        <v/>
      </c>
      <c r="T58" s="72">
        <f>IF(15&gt;'Summary &amp; Assumptions'!$C$23,"",T57+S58)</f>
        <v/>
      </c>
    </row>
    <row r="59">
      <c r="A59" s="1" t="n"/>
      <c r="B59" s="8" t="inlineStr">
        <is>
          <t>Cash Yield on $100k</t>
        </is>
      </c>
      <c r="C59" s="1" t="n"/>
      <c r="D59" s="1" t="n"/>
      <c r="E59" s="1" t="n"/>
      <c r="F59" s="36">
        <f>IF(1&gt;'Summary &amp; Assumptions'!$C$23,"",F57/100000)</f>
        <v/>
      </c>
      <c r="G59" s="36">
        <f>IF(2&gt;'Summary &amp; Assumptions'!$C$23,"",G57/100000)</f>
        <v/>
      </c>
      <c r="H59" s="36">
        <f>IF(3&gt;'Summary &amp; Assumptions'!$C$23,"",H57/100000)</f>
        <v/>
      </c>
      <c r="I59" s="36">
        <f>IF(4&gt;'Summary &amp; Assumptions'!$C$23,"",I57/100000)</f>
        <v/>
      </c>
      <c r="J59" s="36">
        <f>IF(5&gt;'Summary &amp; Assumptions'!$C$23,"",J57/100000)</f>
        <v/>
      </c>
      <c r="K59" s="36">
        <f>IF(6&gt;'Summary &amp; Assumptions'!$C$23,"",K57/100000)</f>
        <v/>
      </c>
      <c r="L59" s="36">
        <f>IF(7&gt;'Summary &amp; Assumptions'!$C$23,"",L57/100000)</f>
        <v/>
      </c>
      <c r="M59" s="36">
        <f>IF(8&gt;'Summary &amp; Assumptions'!$C$23,"",M57/100000)</f>
        <v/>
      </c>
      <c r="N59" s="36">
        <f>IF(9&gt;'Summary &amp; Assumptions'!$C$23,"",N57/100000)</f>
        <v/>
      </c>
      <c r="O59" s="36">
        <f>IF(10&gt;'Summary &amp; Assumptions'!$C$23,"",O57/100000)</f>
        <v/>
      </c>
      <c r="P59" s="36">
        <f>IF(11&gt;'Summary &amp; Assumptions'!$C$23,"",P57/100000)</f>
        <v/>
      </c>
      <c r="Q59" s="36">
        <f>IF(12&gt;'Summary &amp; Assumptions'!$C$23,"",Q57/100000)</f>
        <v/>
      </c>
      <c r="R59" s="36">
        <f>IF(13&gt;'Summary &amp; Assumptions'!$C$23,"",R57/100000)</f>
        <v/>
      </c>
      <c r="S59" s="36">
        <f>IF(14&gt;'Summary &amp; Assumptions'!$C$23,"",S57/100000)</f>
        <v/>
      </c>
      <c r="T59" s="36">
        <f>IF(15&gt;'Summary &amp; Assumptions'!$C$23,"",T57/100000)</f>
        <v/>
      </c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</row>
    <row r="61">
      <c r="A61" s="1" t="n"/>
      <c r="B61" s="6" t="inlineStr">
        <is>
          <t>Hold-Period Comparison — not modeled (change Hold Period on Summary instead)</t>
        </is>
      </c>
      <c r="C61" s="7" t="n"/>
      <c r="D61" s="7" t="n"/>
      <c r="E61" s="7" t="n"/>
      <c r="F61" s="7" t="n"/>
      <c r="G61" s="7" t="n"/>
      <c r="H61" s="7" t="n"/>
      <c r="I61" s="7" t="n"/>
      <c r="J61" s="7" t="n"/>
      <c r="K61" s="7" t="n"/>
      <c r="L61" s="1" t="n"/>
      <c r="M61" s="1" t="n"/>
      <c r="N61" s="1" t="n"/>
      <c r="O61" s="1" t="n"/>
      <c r="P61" s="1" t="n"/>
      <c r="Q61" s="1" t="n"/>
      <c r="R61" s="1" t="n"/>
      <c r="S61" s="1" t="n"/>
      <c r="T61" s="1" t="n"/>
    </row>
    <row r="62">
      <c r="A62" s="1" t="n"/>
      <c r="B62" s="17" t="inlineStr">
        <is>
          <t>Sell After</t>
        </is>
      </c>
      <c r="C62" s="17" t="inlineStr">
        <is>
          <t>Levered IRR</t>
        </is>
      </c>
      <c r="D62" s="17" t="inlineStr">
        <is>
          <t>Equity Multiple</t>
        </is>
      </c>
      <c r="E62" s="17" t="inlineStr">
        <is>
          <t>Simple Avg Return</t>
        </is>
      </c>
      <c r="F62" s="17" t="inlineStr">
        <is>
          <t>Total Profit</t>
        </is>
      </c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</row>
    <row r="63">
      <c r="A63" s="1" t="n"/>
      <c r="B63" s="8" t="inlineStr">
        <is>
          <t>3 years</t>
        </is>
      </c>
      <c r="C63" s="3" t="inlineStr">
        <is>
          <t>n/a</t>
        </is>
      </c>
      <c r="D63" s="3" t="inlineStr">
        <is>
          <t>n/a</t>
        </is>
      </c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</row>
    <row r="64">
      <c r="A64" s="1" t="n"/>
      <c r="B64" s="8" t="inlineStr">
        <is>
          <t>5 years</t>
        </is>
      </c>
      <c r="C64" s="3" t="inlineStr">
        <is>
          <t>n/a</t>
        </is>
      </c>
      <c r="D64" s="3" t="inlineStr">
        <is>
          <t>n/a</t>
        </is>
      </c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</row>
    <row r="65">
      <c r="A65" s="1" t="n"/>
      <c r="B65" s="8" t="inlineStr">
        <is>
          <t>7 years</t>
        </is>
      </c>
      <c r="C65" s="3" t="inlineStr">
        <is>
          <t>n/a</t>
        </is>
      </c>
      <c r="D65" s="3" t="inlineStr">
        <is>
          <t>n/a</t>
        </is>
      </c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  <c r="R65" s="1" t="n"/>
      <c r="S65" s="1" t="n"/>
      <c r="T65" s="1" t="n"/>
    </row>
    <row r="66">
      <c r="A66" s="1" t="n"/>
      <c r="B66" s="8" t="inlineStr">
        <is>
          <t>10 years</t>
        </is>
      </c>
      <c r="C66" s="3" t="inlineStr">
        <is>
          <t>n/a</t>
        </is>
      </c>
      <c r="D66" s="3" t="inlineStr">
        <is>
          <t>n/a</t>
        </is>
      </c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  <c r="N66" s="1" t="n"/>
      <c r="O66" s="1" t="n"/>
      <c r="P66" s="1" t="n"/>
      <c r="Q66" s="1" t="n"/>
      <c r="R66" s="1" t="n"/>
      <c r="S66" s="1" t="n"/>
      <c r="T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  <c r="R67" s="1" t="n"/>
      <c r="S67" s="1" t="n"/>
      <c r="T67" s="1" t="n"/>
    </row>
    <row r="68" hidden="1">
      <c r="A68" s="1" t="n"/>
      <c r="B68" s="3" t="inlineStr">
        <is>
          <t>helper: unreturned capital</t>
        </is>
      </c>
      <c r="C68" s="1" t="n"/>
      <c r="D68" s="1" t="n"/>
      <c r="E68" s="38">
        <f>'Summary &amp; Assumptions'!$C$73</f>
        <v/>
      </c>
      <c r="F68" s="38">
        <f>'Summary &amp; Assumptions'!$C$73</f>
        <v/>
      </c>
      <c r="G68" s="38">
        <f>MAX(0,F68-N(F33))</f>
        <v/>
      </c>
      <c r="H68" s="38">
        <f>MAX(0,G68-N(G33))</f>
        <v/>
      </c>
      <c r="I68" s="38">
        <f>MAX(0,H68-N(H33))</f>
        <v/>
      </c>
      <c r="J68" s="38">
        <f>MAX(0,I68-N(I33))</f>
        <v/>
      </c>
      <c r="K68" s="38">
        <f>MAX(0,J68-N(J33))</f>
        <v/>
      </c>
      <c r="L68" s="38">
        <f>MAX(0,K68-N(K33))</f>
        <v/>
      </c>
      <c r="M68" s="38">
        <f>MAX(0,L68-N(L33))</f>
        <v/>
      </c>
      <c r="N68" s="38">
        <f>MAX(0,M68-N(M33))</f>
        <v/>
      </c>
      <c r="O68" s="38">
        <f>MAX(0,N68-N(N33))</f>
        <v/>
      </c>
      <c r="P68" s="38">
        <f>MAX(0,O68-N(O33))</f>
        <v/>
      </c>
      <c r="Q68" s="38">
        <f>MAX(0,P68-N(P33))</f>
        <v/>
      </c>
      <c r="R68" s="38">
        <f>MAX(0,Q68-N(Q33))</f>
        <v/>
      </c>
      <c r="S68" s="38">
        <f>MAX(0,R68-N(R33))</f>
        <v/>
      </c>
      <c r="T68" s="38">
        <f>MAX(0,S68-N(S33))</f>
        <v/>
      </c>
    </row>
    <row r="69" hidden="1">
      <c r="A69" s="1" t="n"/>
      <c r="B69" s="3" t="inlineStr">
        <is>
          <t>helper: unpaid pref</t>
        </is>
      </c>
      <c r="C69" s="1" t="n"/>
      <c r="D69" s="1" t="n"/>
      <c r="E69" s="1" t="n">
        <v>0</v>
      </c>
      <c r="F69" s="38">
        <f>MAX(0,F70-N(F32))</f>
        <v/>
      </c>
      <c r="G69" s="38">
        <f>MAX(0,G70-N(G32))</f>
        <v/>
      </c>
      <c r="H69" s="38">
        <f>MAX(0,H70-N(H32))</f>
        <v/>
      </c>
      <c r="I69" s="38">
        <f>MAX(0,I70-N(I32))</f>
        <v/>
      </c>
      <c r="J69" s="38">
        <f>MAX(0,J70-N(J32))</f>
        <v/>
      </c>
      <c r="K69" s="38">
        <f>MAX(0,K70-N(K32))</f>
        <v/>
      </c>
      <c r="L69" s="38">
        <f>MAX(0,L70-N(L32))</f>
        <v/>
      </c>
      <c r="M69" s="38">
        <f>MAX(0,M70-N(M32))</f>
        <v/>
      </c>
      <c r="N69" s="38">
        <f>MAX(0,N70-N(N32))</f>
        <v/>
      </c>
      <c r="O69" s="38">
        <f>MAX(0,O70-N(O32))</f>
        <v/>
      </c>
      <c r="P69" s="38">
        <f>MAX(0,P70-N(P32))</f>
        <v/>
      </c>
      <c r="Q69" s="38">
        <f>MAX(0,Q70-N(Q32))</f>
        <v/>
      </c>
      <c r="R69" s="38">
        <f>MAX(0,R70-N(R32))</f>
        <v/>
      </c>
      <c r="S69" s="38">
        <f>MAX(0,S70-N(S32))</f>
        <v/>
      </c>
      <c r="T69" s="38">
        <f>MAX(0,T70-N(T32))</f>
        <v/>
      </c>
    </row>
    <row r="70" hidden="1">
      <c r="A70" s="1" t="n"/>
      <c r="B70" s="3" t="inlineStr">
        <is>
          <t>helper: pref accrued</t>
        </is>
      </c>
      <c r="C70" s="1" t="n"/>
      <c r="D70" s="1" t="n"/>
      <c r="E70" s="1" t="n"/>
      <c r="F70" s="38">
        <f>F68*'Investor Waterfall'!$C$9+E69</f>
        <v/>
      </c>
      <c r="G70" s="38">
        <f>G68*'Investor Waterfall'!$C$9+F69</f>
        <v/>
      </c>
      <c r="H70" s="38">
        <f>H68*'Investor Waterfall'!$C$9+G69</f>
        <v/>
      </c>
      <c r="I70" s="38">
        <f>I68*'Investor Waterfall'!$C$9+H69</f>
        <v/>
      </c>
      <c r="J70" s="38">
        <f>J68*'Investor Waterfall'!$C$9+I69</f>
        <v/>
      </c>
      <c r="K70" s="38">
        <f>K68*'Investor Waterfall'!$C$9+J69</f>
        <v/>
      </c>
      <c r="L70" s="38">
        <f>L68*'Investor Waterfall'!$C$9+K69</f>
        <v/>
      </c>
      <c r="M70" s="38">
        <f>M68*'Investor Waterfall'!$C$9+L69</f>
        <v/>
      </c>
      <c r="N70" s="38">
        <f>N68*'Investor Waterfall'!$C$9+M69</f>
        <v/>
      </c>
      <c r="O70" s="38">
        <f>O68*'Investor Waterfall'!$C$9+N69</f>
        <v/>
      </c>
      <c r="P70" s="38">
        <f>P68*'Investor Waterfall'!$C$9+O69</f>
        <v/>
      </c>
      <c r="Q70" s="38">
        <f>Q68*'Investor Waterfall'!$C$9+P69</f>
        <v/>
      </c>
      <c r="R70" s="38">
        <f>R68*'Investor Waterfall'!$C$9+Q69</f>
        <v/>
      </c>
      <c r="S70" s="38">
        <f>S68*'Investor Waterfall'!$C$9+R69</f>
        <v/>
      </c>
      <c r="T70" s="38">
        <f>T68*'Investor Waterfall'!$C$9+S69</f>
        <v/>
      </c>
    </row>
  </sheetData>
  <sheetProtection selectLockedCells="1" selectUnlockedCells="0" algorithmName="SHA-512" sheet="1" objects="1" insertRows="1" insertHyperlinks="1" autoFilter="1" scenarios="1" formatColumns="0" deleteColumns="1" insertColumns="1" pivotTables="1" deleteRows="1" formatCells="0" saltValue="kR2Lz1QJEyJLiHJBsVqNvQ==" formatRows="0" sort="1" spinCount="100000" hashValue="Npj19r5N85qwBCk4c3p/jsOKtxM6e1g92r/EaiYi0mQDXZkMNPqE1mHXM8k0HpofVJF1JugduiuQXHm1M5sHLA=="/>
  <conditionalFormatting sqref="C13">
    <cfRule type="expression" priority="1" dxfId="0" stopIfTrue="0">
      <formula>$C$12="No"</formula>
    </cfRule>
  </conditionalFormatting>
  <conditionalFormatting sqref="C12:C20">
    <cfRule type="expression" priority="2" dxfId="0" stopIfTrue="0">
      <formula>$C$8="Pari Passu after Pref"</formula>
    </cfRule>
  </conditionalFormatting>
  <conditionalFormatting sqref="C21:H26">
    <cfRule type="expression" priority="3" dxfId="0" stopIfTrue="0">
      <formula>C$27="No"</formula>
    </cfRule>
  </conditionalFormatting>
  <dataValidations count="5">
    <dataValidation sqref="C26:H26" showDropDown="0" showInputMessage="0" showErrorMessage="0" allowBlank="1" type="list">
      <formula1>=lst_apply_proceeds</formula1>
    </dataValidation>
    <dataValidation sqref="C8" showDropDown="0" showInputMessage="0" showErrorMessage="0" allowBlank="1" type="list">
      <formula1>=lst_wf_mode</formula1>
    </dataValidation>
    <dataValidation sqref="C10" showDropDown="0" showInputMessage="0" showErrorMessage="0" allowBlank="1" type="list">
      <formula1>=lst_pref_type</formula1>
    </dataValidation>
    <dataValidation sqref="C11 C12 H16" showDropDown="0" showInputMessage="0" showErrorMessage="0" allowBlank="1" type="list">
      <formula1>=lst_yn</formula1>
    </dataValidation>
    <dataValidation sqref="H7" showDropDown="0" showInputMessage="0" showErrorMessage="0" allowBlank="1" type="list">
      <formula1>=lst_am_fee_basis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23"/>
  <sheetViews>
    <sheetView showGridLines="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2" customWidth="1" style="1" min="1" max="1"/>
    <col width="26" customWidth="1" style="1" min="2" max="2"/>
    <col width="16" customWidth="1" style="1" min="3" max="3"/>
    <col width="14" customWidth="1" style="1" min="4" max="4"/>
    <col width="14" customWidth="1" style="1" min="5" max="5"/>
    <col width="14" customWidth="1" style="1" min="6" max="6"/>
    <col width="14" customWidth="1" style="1" min="7" max="7"/>
    <col width="14" customWidth="1" style="1" min="8" max="8"/>
    <col width="14" customWidth="1" style="1" min="9" max="9"/>
    <col width="14" customWidth="1" style="1" min="10" max="10"/>
    <col width="14" customWidth="1" style="1" min="11" max="11"/>
    <col width="13" customWidth="1" style="1" min="12" max="12"/>
    <col width="13" customWidth="1" style="1" min="13" max="13"/>
    <col width="13" customWidth="1" style="1" min="14" max="14"/>
    <col width="13" customWidth="1" style="1" min="15" max="15"/>
    <col width="13" customWidth="1" style="1" min="16" max="16"/>
    <col width="13" customWidth="1" style="1" min="17" max="17"/>
    <col width="13" customWidth="1" style="1" min="18" max="18"/>
    <col width="13" customWidth="1" style="1" min="19" max="19"/>
    <col width="13" customWidth="1" style="1" min="20" max="20"/>
    <col width="13" customWidth="1" style="1" min="21" max="21"/>
    <col width="13" customWidth="1" style="1" min="22" max="22"/>
    <col width="13" customWidth="1" style="1" min="23" max="23"/>
    <col width="13" customWidth="1" style="1" min="24" max="24"/>
    <col width="13" customWidth="1" style="1" min="25" max="25"/>
    <col width="13" customWidth="1" style="1" min="26" max="26"/>
    <col width="13" customWidth="1" style="1" min="27" max="27"/>
    <col width="13" customWidth="1" style="1" min="28" max="28"/>
    <col width="13" customWidth="1" style="1" min="29" max="29"/>
    <col width="13" customWidth="1" style="1" min="30" max="30"/>
    <col width="13" customWidth="1" style="1" min="31" max="31"/>
    <col width="13" customWidth="1" style="1" min="32" max="32"/>
    <col width="13" customWidth="1" style="1" min="33" max="33"/>
    <col width="13" customWidth="1" style="1" min="34" max="34"/>
    <col width="13" customWidth="1" style="1" min="35" max="35"/>
    <col width="13" customWidth="1" style="1" min="36" max="36"/>
    <col width="13" customWidth="1" style="1" min="37" max="37"/>
    <col width="13" customWidth="1" style="1" min="38" max="38"/>
    <col width="13" customWidth="1" style="1" min="39" max="39"/>
    <col width="13" customWidth="1" style="1" min="40" max="40"/>
  </cols>
  <sheetData>
    <row r="1" ht="46" customHeight="1">
      <c r="A1" s="1" t="n"/>
      <c r="B1" s="2" t="n"/>
      <c r="C1" s="1" t="n"/>
      <c r="D1" s="3">
        <f>IF('Summary &amp; Assumptions'!$C$6="",IFERROR(LEFT('Summary &amp; Assumptions'!$C$7,FIND(",",'Summary &amp; Assumptions'!$C$7)-1),'Summary &amp; Assumptions'!$C$7),'Summary &amp; Assumptions'!$C$6)&amp;", "&amp;'Summary &amp; Assumptions'!$C$8&amp;", "&amp;'Summary &amp; Assumptions'!$C$9&amp;" - "&amp;'Summary &amp; Assumptions'!$C$11&amp;" Units - Built in "&amp;'Summary &amp; Assumptions'!$C$12</f>
        <v/>
      </c>
      <c r="E1" s="1" t="n"/>
      <c r="F1" s="1" t="n"/>
      <c r="G1" s="1" t="n"/>
      <c r="H1" s="1" t="n"/>
      <c r="I1" s="1" t="n"/>
      <c r="J1" s="1" t="n"/>
      <c r="K1" s="1" t="n"/>
    </row>
    <row r="2">
      <c r="A2" s="1" t="n"/>
      <c r="B2" s="4" t="inlineStr">
        <is>
          <t>Rent Comps</t>
        </is>
      </c>
      <c r="C2" s="1" t="n"/>
      <c r="D2" s="5" t="inlineStr">
        <is>
          <t>View Dashboard on Slung</t>
        </is>
      </c>
      <c r="E2" s="1" t="n"/>
      <c r="F2" s="1" t="n"/>
      <c r="G2" s="1" t="n"/>
      <c r="H2" s="1" t="n"/>
      <c r="I2" s="1" t="n"/>
      <c r="J2" s="1" t="n"/>
      <c r="K2" s="1" t="n"/>
    </row>
    <row r="3">
      <c r="A3" s="1" t="n"/>
      <c r="B3" s="3" t="inlineStr">
        <is>
          <t>Rental comparables. Auto-filled from Slung rent data; edit freely.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</row>
    <row r="5">
      <c r="A5" s="1" t="n"/>
      <c r="B5" s="1" t="n"/>
      <c r="C5" s="22" t="inlineStr">
        <is>
          <t>Subject</t>
        </is>
      </c>
      <c r="D5" s="22" t="inlineStr">
        <is>
          <t>Comp 1</t>
        </is>
      </c>
      <c r="E5" s="22" t="inlineStr">
        <is>
          <t>Comp 2</t>
        </is>
      </c>
      <c r="F5" s="22" t="inlineStr">
        <is>
          <t>Comp 3</t>
        </is>
      </c>
      <c r="G5" s="22" t="inlineStr">
        <is>
          <t>Comp 4</t>
        </is>
      </c>
      <c r="H5" s="22" t="inlineStr">
        <is>
          <t>Comp 5</t>
        </is>
      </c>
      <c r="I5" s="22" t="inlineStr">
        <is>
          <t>Comp 6</t>
        </is>
      </c>
      <c r="J5" s="22" t="inlineStr">
        <is>
          <t>Comp 7</t>
        </is>
      </c>
      <c r="K5" s="22" t="inlineStr">
        <is>
          <t>Comp 8</t>
        </is>
      </c>
    </row>
    <row r="6">
      <c r="A6" s="1" t="n"/>
      <c r="B6" s="8" t="inlineStr">
        <is>
          <t>Name</t>
        </is>
      </c>
      <c r="C6" s="37">
        <f>'Summary &amp; Assumptions'!$C$6</f>
        <v/>
      </c>
      <c r="D6" s="9" t="n"/>
      <c r="E6" s="9" t="n"/>
      <c r="F6" s="9" t="n"/>
      <c r="G6" s="9" t="n"/>
      <c r="H6" s="9" t="n"/>
      <c r="I6" s="9" t="n"/>
      <c r="J6" s="9" t="n"/>
      <c r="K6" s="9" t="n"/>
    </row>
    <row r="7">
      <c r="A7" s="1" t="n"/>
      <c r="B7" s="8" t="inlineStr">
        <is>
          <t>Address</t>
        </is>
      </c>
      <c r="C7" s="37">
        <f>'Summary &amp; Assumptions'!$C$7</f>
        <v/>
      </c>
      <c r="D7" s="9" t="n"/>
      <c r="E7" s="9" t="n"/>
      <c r="F7" s="9" t="n"/>
      <c r="G7" s="9" t="n"/>
      <c r="H7" s="9" t="n"/>
      <c r="I7" s="9" t="n"/>
      <c r="J7" s="9" t="n"/>
      <c r="K7" s="9" t="n"/>
    </row>
    <row r="8">
      <c r="A8" s="1" t="n"/>
      <c r="B8" s="8" t="inlineStr">
        <is>
          <t>Distance (mi)</t>
        </is>
      </c>
      <c r="C8" s="57">
        <f>"—"</f>
        <v/>
      </c>
      <c r="D8" s="75" t="n"/>
      <c r="E8" s="75" t="n"/>
      <c r="F8" s="75" t="n"/>
      <c r="G8" s="75" t="n"/>
      <c r="H8" s="75" t="n"/>
      <c r="I8" s="75" t="n"/>
      <c r="J8" s="75" t="n"/>
      <c r="K8" s="75" t="n"/>
    </row>
    <row r="9">
      <c r="A9" s="1" t="n"/>
      <c r="B9" s="8" t="inlineStr">
        <is>
          <t>Year Built</t>
        </is>
      </c>
      <c r="C9" s="68">
        <f>'Summary &amp; Assumptions'!$C$12</f>
        <v/>
      </c>
      <c r="D9" s="14" t="n"/>
      <c r="E9" s="14" t="n"/>
      <c r="F9" s="14" t="n"/>
      <c r="G9" s="14" t="n"/>
      <c r="H9" s="14" t="n"/>
      <c r="I9" s="14" t="n"/>
      <c r="J9" s="14" t="n"/>
      <c r="K9" s="14" t="n"/>
    </row>
    <row r="10">
      <c r="A10" s="1" t="n"/>
      <c r="B10" s="8" t="inlineStr">
        <is>
          <t>Units</t>
        </is>
      </c>
      <c r="C10" s="68">
        <f>'Summary &amp; Assumptions'!$C$11</f>
        <v/>
      </c>
      <c r="D10" s="14" t="n"/>
      <c r="E10" s="14" t="n"/>
      <c r="F10" s="14" t="n"/>
      <c r="G10" s="14" t="n"/>
      <c r="H10" s="14" t="n"/>
      <c r="I10" s="14" t="n"/>
      <c r="J10" s="14" t="n"/>
      <c r="K10" s="14" t="n"/>
    </row>
    <row r="11">
      <c r="A11" s="1" t="n"/>
      <c r="B11" s="8" t="inlineStr">
        <is>
          <t>Avg Unit SF</t>
        </is>
      </c>
      <c r="C11" s="76">
        <f>IFERROR('Summary &amp; Assumptions'!$C$16/'Summary &amp; Assumptions'!$C$11,0)</f>
        <v/>
      </c>
      <c r="D11" s="19" t="n"/>
      <c r="E11" s="19" t="n"/>
      <c r="F11" s="19" t="n"/>
      <c r="G11" s="19" t="n"/>
      <c r="H11" s="19" t="n"/>
      <c r="I11" s="19" t="n"/>
      <c r="J11" s="19" t="n"/>
      <c r="K11" s="19" t="n"/>
    </row>
    <row r="12">
      <c r="A12" s="1" t="n"/>
      <c r="B12" s="8" t="inlineStr">
        <is>
          <t>Avg Rent /mo</t>
        </is>
      </c>
      <c r="C12" s="12">
        <f>'UnitMix'!$H$31</f>
        <v/>
      </c>
      <c r="D12" s="10" t="n"/>
      <c r="E12" s="10" t="n"/>
      <c r="F12" s="10" t="n"/>
      <c r="G12" s="10" t="n"/>
      <c r="H12" s="10" t="n"/>
      <c r="I12" s="10" t="n"/>
      <c r="J12" s="10" t="n"/>
      <c r="K12" s="10" t="n"/>
    </row>
    <row r="13">
      <c r="A13" s="1" t="n"/>
      <c r="B13" s="8" t="inlineStr">
        <is>
          <t>Rent $/SF</t>
        </is>
      </c>
      <c r="C13" s="77">
        <f>IFERROR('UnitMix'!$H$31/('Summary &amp; Assumptions'!$C$16/'Summary &amp; Assumptions'!$C$11),0)</f>
        <v/>
      </c>
      <c r="D13" s="78" t="n"/>
      <c r="E13" s="78" t="n"/>
      <c r="F13" s="78" t="n"/>
      <c r="G13" s="78" t="n"/>
      <c r="H13" s="78" t="n"/>
      <c r="I13" s="78" t="n"/>
      <c r="J13" s="78" t="n"/>
      <c r="K13" s="78" t="n"/>
    </row>
    <row r="14">
      <c r="A14" s="1" t="n"/>
      <c r="B14" s="8" t="inlineStr">
        <is>
          <t>Occupancy</t>
        </is>
      </c>
      <c r="C14" s="73">
        <f>IFERROR('Summary &amp; Assumptions'!$C$15/'Summary &amp; Assumptions'!$C$11,0)</f>
        <v/>
      </c>
      <c r="D14" s="32" t="n"/>
      <c r="E14" s="32" t="n"/>
      <c r="F14" s="32" t="n"/>
      <c r="G14" s="32" t="n"/>
      <c r="H14" s="32" t="n"/>
      <c r="I14" s="32" t="n"/>
      <c r="J14" s="32" t="n"/>
      <c r="K14" s="32" t="n"/>
    </row>
    <row r="15">
      <c r="A15" s="1" t="n"/>
      <c r="B15" s="8" t="inlineStr">
        <is>
          <t>Concessions Offered</t>
        </is>
      </c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</row>
    <row r="16">
      <c r="A16" s="1" t="n"/>
      <c r="B16" s="8" t="inlineStr">
        <is>
          <t>Notes</t>
        </is>
      </c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</row>
    <row r="18">
      <c r="A18" s="1" t="n"/>
      <c r="B18" s="6" t="inlineStr">
        <is>
          <t>Indications</t>
        </is>
      </c>
      <c r="C18" s="7" t="n"/>
      <c r="D18" s="7" t="n"/>
      <c r="E18" s="7" t="n"/>
      <c r="F18" s="1" t="n"/>
      <c r="G18" s="1" t="n"/>
      <c r="H18" s="1" t="n"/>
      <c r="I18" s="1" t="n"/>
      <c r="J18" s="1" t="n"/>
      <c r="K18" s="1" t="n"/>
    </row>
    <row r="19">
      <c r="A19" s="1" t="n"/>
      <c r="B19" s="8" t="inlineStr">
        <is>
          <t>Avg Comp Distance (mi)</t>
        </is>
      </c>
      <c r="C19" s="1" t="n"/>
      <c r="D19" s="44">
        <f>IFERROR(AVERAGE('Rent Comps'!$D$8:$K$8),0)</f>
        <v/>
      </c>
      <c r="E19" s="1" t="n"/>
      <c r="F19" s="1" t="n"/>
      <c r="G19" s="1" t="n"/>
      <c r="H19" s="1" t="n"/>
      <c r="I19" s="1" t="n"/>
      <c r="J19" s="1" t="n"/>
      <c r="K19" s="1" t="n"/>
    </row>
    <row r="20">
      <c r="A20" s="1" t="n"/>
      <c r="B20" s="8" t="inlineStr">
        <is>
          <t>Avg Comp Rent /mo</t>
        </is>
      </c>
      <c r="C20" s="1" t="n"/>
      <c r="D20" s="26">
        <f>IFERROR(AVERAGE('Rent Comps'!$D$12:$K$12),0)</f>
        <v/>
      </c>
      <c r="E20" s="1" t="n"/>
      <c r="F20" s="1" t="n"/>
      <c r="G20" s="1" t="n"/>
      <c r="H20" s="1" t="n"/>
      <c r="I20" s="1" t="n"/>
      <c r="J20" s="1" t="n"/>
      <c r="K20" s="1" t="n"/>
    </row>
    <row r="21">
      <c r="A21" s="1" t="n"/>
      <c r="B21" s="8" t="inlineStr">
        <is>
          <t>Avg Comp Rent $/SF</t>
        </is>
      </c>
      <c r="C21" s="1" t="n"/>
      <c r="D21" s="79">
        <f>IFERROR(AVERAGE('Rent Comps'!$D$13:$K$13),0)</f>
        <v/>
      </c>
      <c r="E21" s="1" t="n"/>
      <c r="F21" s="1" t="n"/>
      <c r="G21" s="1" t="n"/>
      <c r="H21" s="1" t="n"/>
      <c r="I21" s="1" t="n"/>
      <c r="J21" s="1" t="n"/>
      <c r="K21" s="1" t="n"/>
    </row>
    <row r="22">
      <c r="A22" s="1" t="n"/>
      <c r="B22" s="8" t="inlineStr">
        <is>
          <t>Subject vs Comp Rent</t>
        </is>
      </c>
      <c r="C22" s="1" t="n"/>
      <c r="D22" s="28">
        <f>IFERROR('UnitMix'!$H$31/AVERAGE('Rent Comps'!$D$12:$K$12)-1,0)</f>
        <v/>
      </c>
      <c r="E22" s="1" t="n"/>
      <c r="F22" s="1" t="n"/>
      <c r="G22" s="1" t="n"/>
      <c r="H22" s="1" t="n"/>
      <c r="I22" s="1" t="n"/>
      <c r="J22" s="1" t="n"/>
      <c r="K22" s="1" t="n"/>
    </row>
    <row r="23">
      <c r="A23" s="1" t="n"/>
      <c r="B23" s="8" t="inlineStr">
        <is>
          <t>Avg Comp Occupancy</t>
        </is>
      </c>
      <c r="C23" s="1" t="n"/>
      <c r="D23" s="31">
        <f>IFERROR(AVERAGE('Rent Comps'!$D$14:$K$14),0)</f>
        <v/>
      </c>
      <c r="E23" s="1" t="n"/>
      <c r="F23" s="1" t="n"/>
      <c r="G23" s="1" t="n"/>
      <c r="H23" s="1" t="n"/>
      <c r="I23" s="1" t="n"/>
      <c r="J23" s="1" t="n"/>
      <c r="K23" s="1" t="n"/>
    </row>
  </sheetData>
  <sheetProtection selectLockedCells="1" selectUnlockedCells="0" algorithmName="SHA-512" sheet="1" objects="1" insertRows="1" insertHyperlinks="1" autoFilter="1" scenarios="1" formatColumns="0" deleteColumns="1" insertColumns="1" pivotTables="1" deleteRows="1" formatCells="0" saltValue="kR2Lz1QJEyJLiHJBsVqNvQ==" formatRows="0" sort="1" spinCount="100000" hashValue="Npj19r5N85qwBCk4c3p/jsOKtxM6e1g92r/EaiYi0mQDXZkMNPqE1mHXM8k0HpofVJF1JugduiuQXHm1M5sHLA==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22"/>
  <sheetViews>
    <sheetView showGridLines="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2" customWidth="1" style="1" min="1" max="1"/>
    <col width="26" customWidth="1" style="1" min="2" max="2"/>
    <col width="16" customWidth="1" style="1" min="3" max="3"/>
    <col width="14" customWidth="1" style="1" min="4" max="4"/>
    <col width="14" customWidth="1" style="1" min="5" max="5"/>
    <col width="14" customWidth="1" style="1" min="6" max="6"/>
    <col width="14" customWidth="1" style="1" min="7" max="7"/>
    <col width="14" customWidth="1" style="1" min="8" max="8"/>
    <col width="14" customWidth="1" style="1" min="9" max="9"/>
    <col width="14" customWidth="1" style="1" min="10" max="10"/>
    <col width="14" customWidth="1" style="1" min="11" max="11"/>
    <col width="13" customWidth="1" style="1" min="12" max="12"/>
    <col width="13" customWidth="1" style="1" min="13" max="13"/>
    <col width="13" customWidth="1" style="1" min="14" max="14"/>
    <col width="13" customWidth="1" style="1" min="15" max="15"/>
    <col width="13" customWidth="1" style="1" min="16" max="16"/>
    <col width="13" customWidth="1" style="1" min="17" max="17"/>
    <col width="13" customWidth="1" style="1" min="18" max="18"/>
    <col width="13" customWidth="1" style="1" min="19" max="19"/>
    <col width="13" customWidth="1" style="1" min="20" max="20"/>
    <col width="13" customWidth="1" style="1" min="21" max="21"/>
    <col width="13" customWidth="1" style="1" min="22" max="22"/>
    <col width="13" customWidth="1" style="1" min="23" max="23"/>
    <col width="13" customWidth="1" style="1" min="24" max="24"/>
    <col width="13" customWidth="1" style="1" min="25" max="25"/>
    <col width="13" customWidth="1" style="1" min="26" max="26"/>
    <col width="13" customWidth="1" style="1" min="27" max="27"/>
    <col width="13" customWidth="1" style="1" min="28" max="28"/>
    <col width="13" customWidth="1" style="1" min="29" max="29"/>
    <col width="13" customWidth="1" style="1" min="30" max="30"/>
    <col width="13" customWidth="1" style="1" min="31" max="31"/>
    <col width="13" customWidth="1" style="1" min="32" max="32"/>
    <col width="13" customWidth="1" style="1" min="33" max="33"/>
    <col width="13" customWidth="1" style="1" min="34" max="34"/>
    <col width="13" customWidth="1" style="1" min="35" max="35"/>
    <col width="13" customWidth="1" style="1" min="36" max="36"/>
    <col width="13" customWidth="1" style="1" min="37" max="37"/>
    <col width="13" customWidth="1" style="1" min="38" max="38"/>
    <col width="13" customWidth="1" style="1" min="39" max="39"/>
    <col width="13" customWidth="1" style="1" min="40" max="40"/>
  </cols>
  <sheetData>
    <row r="1" ht="46" customHeight="1">
      <c r="A1" s="1" t="n"/>
      <c r="B1" s="2" t="n"/>
      <c r="C1" s="1" t="n"/>
      <c r="D1" s="3">
        <f>IF('Summary &amp; Assumptions'!$C$6="",IFERROR(LEFT('Summary &amp; Assumptions'!$C$7,FIND(",",'Summary &amp; Assumptions'!$C$7)-1),'Summary &amp; Assumptions'!$C$7),'Summary &amp; Assumptions'!$C$6)&amp;", "&amp;'Summary &amp; Assumptions'!$C$8&amp;", "&amp;'Summary &amp; Assumptions'!$C$9&amp;" - "&amp;'Summary &amp; Assumptions'!$C$11&amp;" Units - Built in "&amp;'Summary &amp; Assumptions'!$C$12</f>
        <v/>
      </c>
      <c r="E1" s="1" t="n"/>
      <c r="F1" s="1" t="n"/>
      <c r="G1" s="1" t="n"/>
      <c r="H1" s="1" t="n"/>
      <c r="I1" s="1" t="n"/>
      <c r="J1" s="1" t="n"/>
      <c r="K1" s="1" t="n"/>
    </row>
    <row r="2">
      <c r="A2" s="1" t="n"/>
      <c r="B2" s="4" t="inlineStr">
        <is>
          <t>Sale Comps</t>
        </is>
      </c>
      <c r="C2" s="1" t="n"/>
      <c r="D2" s="5" t="inlineStr">
        <is>
          <t>View Dashboard on Slung</t>
        </is>
      </c>
      <c r="E2" s="1" t="n"/>
      <c r="F2" s="1" t="n"/>
      <c r="G2" s="1" t="n"/>
      <c r="H2" s="1" t="n"/>
      <c r="I2" s="1" t="n"/>
      <c r="J2" s="1" t="n"/>
      <c r="K2" s="1" t="n"/>
    </row>
    <row r="3">
      <c r="A3" s="1" t="n"/>
      <c r="B3" s="3" t="inlineStr">
        <is>
          <t>Sales comparables. Auto-filled from Slung data; edit freely.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</row>
    <row r="5">
      <c r="A5" s="1" t="n"/>
      <c r="B5" s="1" t="n"/>
      <c r="C5" s="22" t="inlineStr">
        <is>
          <t>Subject</t>
        </is>
      </c>
      <c r="D5" s="22" t="inlineStr">
        <is>
          <t>Comp 1</t>
        </is>
      </c>
      <c r="E5" s="22" t="inlineStr">
        <is>
          <t>Comp 2</t>
        </is>
      </c>
      <c r="F5" s="22" t="inlineStr">
        <is>
          <t>Comp 3</t>
        </is>
      </c>
      <c r="G5" s="22" t="inlineStr">
        <is>
          <t>Comp 4</t>
        </is>
      </c>
      <c r="H5" s="22" t="inlineStr">
        <is>
          <t>Comp 5</t>
        </is>
      </c>
      <c r="I5" s="22" t="inlineStr">
        <is>
          <t>Comp 6</t>
        </is>
      </c>
      <c r="J5" s="22" t="inlineStr">
        <is>
          <t>Comp 7</t>
        </is>
      </c>
      <c r="K5" s="22" t="inlineStr">
        <is>
          <t>Comp 8</t>
        </is>
      </c>
    </row>
    <row r="6">
      <c r="A6" s="1" t="n"/>
      <c r="B6" s="8" t="inlineStr">
        <is>
          <t>Name</t>
        </is>
      </c>
      <c r="C6" s="37">
        <f>'Summary &amp; Assumptions'!$C$6</f>
        <v/>
      </c>
      <c r="D6" s="9" t="n"/>
      <c r="E6" s="9" t="n"/>
      <c r="F6" s="9" t="n"/>
      <c r="G6" s="9" t="n"/>
      <c r="H6" s="9" t="n"/>
      <c r="I6" s="9" t="n"/>
      <c r="J6" s="9" t="n"/>
      <c r="K6" s="9" t="n"/>
    </row>
    <row r="7">
      <c r="A7" s="1" t="n"/>
      <c r="B7" s="8" t="inlineStr">
        <is>
          <t>Address</t>
        </is>
      </c>
      <c r="C7" s="37">
        <f>'Summary &amp; Assumptions'!$C$7</f>
        <v/>
      </c>
      <c r="D7" s="9" t="n"/>
      <c r="E7" s="9" t="n"/>
      <c r="F7" s="9" t="n"/>
      <c r="G7" s="9" t="n"/>
      <c r="H7" s="9" t="n"/>
      <c r="I7" s="9" t="n"/>
      <c r="J7" s="9" t="n"/>
      <c r="K7" s="9" t="n"/>
    </row>
    <row r="8">
      <c r="A8" s="1" t="n"/>
      <c r="B8" s="8" t="inlineStr">
        <is>
          <t>Sale Date</t>
        </is>
      </c>
      <c r="C8" s="24">
        <f>'Summary &amp; Assumptions'!$C$22</f>
        <v/>
      </c>
      <c r="D8" s="45" t="n"/>
      <c r="E8" s="45" t="n"/>
      <c r="F8" s="45" t="n"/>
      <c r="G8" s="45" t="n"/>
      <c r="H8" s="45" t="n"/>
      <c r="I8" s="45" t="n"/>
      <c r="J8" s="45" t="n"/>
      <c r="K8" s="45" t="n"/>
    </row>
    <row r="9">
      <c r="A9" s="1" t="n"/>
      <c r="B9" s="8" t="inlineStr">
        <is>
          <t>Year Built</t>
        </is>
      </c>
      <c r="C9" s="68">
        <f>'Summary &amp; Assumptions'!$C$12</f>
        <v/>
      </c>
      <c r="D9" s="14" t="n"/>
      <c r="E9" s="14" t="n"/>
      <c r="F9" s="14" t="n"/>
      <c r="G9" s="14" t="n"/>
      <c r="H9" s="14" t="n"/>
      <c r="I9" s="14" t="n"/>
      <c r="J9" s="14" t="n"/>
      <c r="K9" s="14" t="n"/>
    </row>
    <row r="10">
      <c r="A10" s="1" t="n"/>
      <c r="B10" s="8" t="inlineStr">
        <is>
          <t>Units</t>
        </is>
      </c>
      <c r="C10" s="68">
        <f>'Summary &amp; Assumptions'!$C$11</f>
        <v/>
      </c>
      <c r="D10" s="14" t="n"/>
      <c r="E10" s="14" t="n"/>
      <c r="F10" s="14" t="n"/>
      <c r="G10" s="14" t="n"/>
      <c r="H10" s="14" t="n"/>
      <c r="I10" s="14" t="n"/>
      <c r="J10" s="14" t="n"/>
      <c r="K10" s="14" t="n"/>
    </row>
    <row r="11">
      <c r="A11" s="1" t="n"/>
      <c r="B11" s="8" t="inlineStr">
        <is>
          <t>Sale Price</t>
        </is>
      </c>
      <c r="C11" s="12">
        <f>'Summary &amp; Assumptions'!$H$6</f>
        <v/>
      </c>
      <c r="D11" s="10" t="n"/>
      <c r="E11" s="10" t="n"/>
      <c r="F11" s="10" t="n"/>
      <c r="G11" s="10" t="n"/>
      <c r="H11" s="10" t="n"/>
      <c r="I11" s="10" t="n"/>
      <c r="J11" s="10" t="n"/>
      <c r="K11" s="10" t="n"/>
    </row>
    <row r="12">
      <c r="A12" s="1" t="n"/>
      <c r="B12" s="8" t="inlineStr">
        <is>
          <t>Price / Unit</t>
        </is>
      </c>
      <c r="C12" s="12">
        <f>IFERROR('Summary &amp; Assumptions'!$H$6/'Summary &amp; Assumptions'!$C$11,0)</f>
        <v/>
      </c>
      <c r="D12" s="10" t="n"/>
      <c r="E12" s="10" t="n"/>
      <c r="F12" s="10" t="n"/>
      <c r="G12" s="10" t="n"/>
      <c r="H12" s="10" t="n"/>
      <c r="I12" s="10" t="n"/>
      <c r="J12" s="10" t="n"/>
      <c r="K12" s="10" t="n"/>
    </row>
    <row r="13">
      <c r="A13" s="1" t="n"/>
      <c r="B13" s="8" t="inlineStr">
        <is>
          <t>Price / SF</t>
        </is>
      </c>
      <c r="C13" s="12">
        <f>IFERROR('Summary &amp; Assumptions'!$H$6/'Summary &amp; Assumptions'!$C$16,0)</f>
        <v/>
      </c>
      <c r="D13" s="10" t="n"/>
      <c r="E13" s="10" t="n"/>
      <c r="F13" s="10" t="n"/>
      <c r="G13" s="10" t="n"/>
      <c r="H13" s="10" t="n"/>
      <c r="I13" s="10" t="n"/>
      <c r="J13" s="10" t="n"/>
      <c r="K13" s="10" t="n"/>
    </row>
    <row r="14">
      <c r="A14" s="1" t="n"/>
      <c r="B14" s="8" t="inlineStr">
        <is>
          <t>Cap Rate</t>
        </is>
      </c>
      <c r="C14" s="11">
        <f>'Summary &amp; Assumptions'!$H$7</f>
        <v/>
      </c>
      <c r="D14" s="13" t="n"/>
      <c r="E14" s="13" t="n"/>
      <c r="F14" s="13" t="n"/>
      <c r="G14" s="13" t="n"/>
      <c r="H14" s="13" t="n"/>
      <c r="I14" s="13" t="n"/>
      <c r="J14" s="13" t="n"/>
      <c r="K14" s="13" t="n"/>
    </row>
    <row r="15">
      <c r="A15" s="1" t="n"/>
      <c r="B15" s="8" t="inlineStr">
        <is>
          <t>Buyer</t>
        </is>
      </c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</row>
    <row r="16">
      <c r="A16" s="1" t="n"/>
      <c r="B16" s="8" t="inlineStr">
        <is>
          <t>Notes</t>
        </is>
      </c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</row>
    <row r="18">
      <c r="A18" s="1" t="n"/>
      <c r="B18" s="6" t="inlineStr">
        <is>
          <t>Indications</t>
        </is>
      </c>
      <c r="C18" s="7" t="n"/>
      <c r="D18" s="7" t="n"/>
      <c r="E18" s="7" t="n"/>
      <c r="F18" s="1" t="n"/>
      <c r="G18" s="1" t="n"/>
      <c r="H18" s="1" t="n"/>
      <c r="I18" s="1" t="n"/>
      <c r="J18" s="1" t="n"/>
      <c r="K18" s="1" t="n"/>
    </row>
    <row r="19">
      <c r="A19" s="1" t="n"/>
      <c r="B19" s="8" t="inlineStr">
        <is>
          <t>Avg Comp Price/Unit</t>
        </is>
      </c>
      <c r="C19" s="1" t="n"/>
      <c r="D19" s="26">
        <f>IFERROR(AVERAGE('Sale Comps'!$D$12:$K$12),0)</f>
        <v/>
      </c>
      <c r="E19" s="1" t="n"/>
      <c r="F19" s="1" t="n"/>
      <c r="G19" s="1" t="n"/>
      <c r="H19" s="1" t="n"/>
      <c r="I19" s="1" t="n"/>
      <c r="J19" s="1" t="n"/>
      <c r="K19" s="1" t="n"/>
    </row>
    <row r="20">
      <c r="A20" s="1" t="n"/>
      <c r="B20" s="8" t="inlineStr">
        <is>
          <t>Avg Comp Price/SF</t>
        </is>
      </c>
      <c r="C20" s="1" t="n"/>
      <c r="D20" s="26">
        <f>IFERROR(AVERAGE('Sale Comps'!$D$13:$K$13),0)</f>
        <v/>
      </c>
      <c r="E20" s="1" t="n"/>
      <c r="F20" s="1" t="n"/>
      <c r="G20" s="1" t="n"/>
      <c r="H20" s="1" t="n"/>
      <c r="I20" s="1" t="n"/>
      <c r="J20" s="1" t="n"/>
      <c r="K20" s="1" t="n"/>
    </row>
    <row r="21">
      <c r="A21" s="1" t="n"/>
      <c r="B21" s="8" t="inlineStr">
        <is>
          <t>Avg Comp Cap Rate</t>
        </is>
      </c>
      <c r="C21" s="1" t="n"/>
      <c r="D21" s="23">
        <f>IFERROR(AVERAGE('Sale Comps'!$D$14:$K$14),0)</f>
        <v/>
      </c>
      <c r="E21" s="1" t="n"/>
      <c r="F21" s="1" t="n"/>
      <c r="G21" s="1" t="n"/>
      <c r="H21" s="1" t="n"/>
      <c r="I21" s="1" t="n"/>
      <c r="J21" s="1" t="n"/>
      <c r="K21" s="1" t="n"/>
    </row>
    <row r="22">
      <c r="A22" s="1" t="n"/>
      <c r="B22" s="8" t="inlineStr">
        <is>
          <t>Subject vs Comp $/Unit</t>
        </is>
      </c>
      <c r="C22" s="1" t="n"/>
      <c r="D22" s="28">
        <f>IFERROR('Summary &amp; Assumptions'!$H$6/'Summary &amp; Assumptions'!$C$11/AVERAGE('Sale Comps'!$D$12:$K$12)-1,0)</f>
        <v/>
      </c>
      <c r="E22" s="1" t="n"/>
      <c r="F22" s="1" t="n"/>
      <c r="G22" s="1" t="n"/>
      <c r="H22" s="1" t="n"/>
      <c r="I22" s="1" t="n"/>
      <c r="J22" s="1" t="n"/>
      <c r="K22" s="1" t="n"/>
    </row>
  </sheetData>
  <sheetProtection selectLockedCells="1" selectUnlockedCells="0" algorithmName="SHA-512" sheet="1" objects="1" insertRows="1" insertHyperlinks="1" autoFilter="1" scenarios="1" formatColumns="0" deleteColumns="1" insertColumns="1" pivotTables="1" deleteRows="1" formatCells="0" saltValue="kR2Lz1QJEyJLiHJBsVqNvQ==" formatRows="0" sort="1" spinCount="100000" hashValue="Npj19r5N85qwBCk4c3p/jsOKtxM6e1g92r/EaiYi0mQDXZkMNPqE1mHXM8k0HpofVJF1JugduiuQXHm1M5sHLA==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R226"/>
  <sheetViews>
    <sheetView showGridLines="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2" customWidth="1" style="1" min="1" max="1"/>
    <col width="26" customWidth="1" style="1" min="2" max="2"/>
    <col width="38" customWidth="1" style="1" min="3" max="3"/>
    <col width="11" customWidth="1" style="1" min="4" max="4"/>
    <col width="11" customWidth="1" style="1" min="5" max="5"/>
    <col width="11" customWidth="1" style="1" min="6" max="6"/>
    <col width="11" customWidth="1" style="1" min="7" max="7"/>
    <col width="11" customWidth="1" style="1" min="8" max="8"/>
    <col width="11" customWidth="1" style="1" min="9" max="9"/>
    <col width="11" customWidth="1" style="1" min="10" max="10"/>
    <col width="11" customWidth="1" style="1" min="11" max="11"/>
    <col width="11" customWidth="1" style="1" min="12" max="12"/>
    <col width="11" customWidth="1" style="1" min="13" max="13"/>
    <col width="11" customWidth="1" style="1" min="14" max="14"/>
    <col width="11" customWidth="1" style="1" min="15" max="15"/>
    <col width="11" customWidth="1" style="1" min="16" max="16"/>
    <col width="11" customWidth="1" style="1" min="17" max="17"/>
    <col width="11" customWidth="1" style="1" min="18" max="18"/>
    <col width="13" customWidth="1" style="1" min="19" max="19"/>
    <col width="13" customWidth="1" style="1" min="20" max="20"/>
    <col width="13" customWidth="1" style="1" min="21" max="21"/>
    <col width="13" customWidth="1" style="1" min="22" max="22"/>
    <col width="13" customWidth="1" style="1" min="23" max="23"/>
    <col width="13" customWidth="1" style="1" min="24" max="24"/>
    <col width="13" customWidth="1" style="1" min="25" max="25"/>
    <col width="13" customWidth="1" style="1" min="26" max="26"/>
    <col width="13" customWidth="1" style="1" min="27" max="27"/>
    <col width="13" customWidth="1" style="1" min="28" max="28"/>
    <col width="13" customWidth="1" style="1" min="29" max="29"/>
    <col width="13" customWidth="1" style="1" min="30" max="30"/>
    <col width="13" customWidth="1" style="1" min="31" max="31"/>
    <col width="13" customWidth="1" style="1" min="32" max="32"/>
    <col width="13" customWidth="1" style="1" min="33" max="33"/>
    <col width="13" customWidth="1" style="1" min="34" max="34"/>
    <col width="13" customWidth="1" style="1" min="35" max="35"/>
    <col width="13" customWidth="1" style="1" min="36" max="36"/>
    <col width="13" customWidth="1" style="1" min="37" max="37"/>
    <col width="13" customWidth="1" style="1" min="38" max="38"/>
    <col width="13" customWidth="1" style="1" min="39" max="39"/>
    <col width="13" customWidth="1" style="1" min="40" max="40"/>
    <col width="13" customWidth="1" style="1" min="41" max="41"/>
    <col width="13" customWidth="1" style="1" min="42" max="42"/>
    <col width="13" customWidth="1" style="1" min="43" max="43"/>
    <col width="13" customWidth="1" style="1" min="44" max="44"/>
    <col width="13" customWidth="1" style="1" min="45" max="45"/>
    <col width="13" customWidth="1" style="1" min="46" max="46"/>
    <col width="13" customWidth="1" style="1" min="47" max="47"/>
  </cols>
  <sheetData>
    <row r="1" ht="46" customHeight="1">
      <c r="A1" s="1" t="n"/>
      <c r="B1" s="2" t="n"/>
      <c r="C1" s="1" t="n"/>
      <c r="D1" s="3">
        <f>IF('Summary &amp; Assumptions'!$C$6="",IFERROR(LEFT('Summary &amp; Assumptions'!$C$7,FIND(",",'Summary &amp; Assumptions'!$C$7)-1),'Summary &amp; Assumptions'!$C$7),'Summary &amp; Assumptions'!$C$6)&amp;", "&amp;'Summary &amp; Assumptions'!$C$8&amp;", "&amp;'Summary &amp; Assumptions'!$C$9&amp;" - "&amp;'Summary &amp; Assumptions'!$C$11&amp;" Units - Built in "&amp;'Summary &amp; Assumptions'!$C$12</f>
        <v/>
      </c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</row>
    <row r="2">
      <c r="A2" s="1" t="n"/>
      <c r="B2" s="4" t="inlineStr">
        <is>
          <t>Original T12</t>
        </is>
      </c>
      <c r="C2" s="1" t="n"/>
      <c r="D2" s="5" t="inlineStr">
        <is>
          <t>View Dashboard on Slung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</row>
    <row r="3">
      <c r="A3" s="1" t="n"/>
      <c r="B3" s="3" t="inlineStr">
        <is>
          <t>The statement as received. Change a row's Slung Line and the model re-maps instantly. Unmapped rows (headers, subtotals) are ignored.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</row>
    <row r="4">
      <c r="A4" s="1" t="n"/>
      <c r="B4" s="1" t="n"/>
      <c r="C4" s="1" t="n"/>
      <c r="D4" s="46">
        <f>IF(SUMPRODUCT(('OG T12'!$B$7:$B$226&lt;&gt;"")*ABS('OG T12'!$D$7:$P$226))=0,"",IF(SUMPRODUCT(('OG T12'!$D$5:$P$5&lt;&gt;"")*1)-SUMPRODUCT(ISNUMBER('OG T12'!$D$5:$P$5)*1)&gt;0,"⚠ Row-5 dates contain text — type real dates or mapped values will not flow to the P&amp;L",IF(IFERROR(SUMPRODUCT(('OG T12'!$B$7:$B$226&lt;&gt;"")*ABS('OG T12'!$D$7:$P$226)*((YEAR('OG T12'!$D$5:$P$5)*12+MONTH('OG T12'!$D$5:$P$5))&gt;YEAR('P&amp;L'!$D$4)*12+MONTH('P&amp;L'!$D$4)-12)*((YEAR('OG T12'!$D$5:$P$5)*12+MONTH('OG T12'!$D$5:$P$5))&lt;=YEAR('P&amp;L'!$D$4)*12+MONTH('P&amp;L'!$D$4))),0)=0,"⚠ Mapped values are NOT flowing to the P&amp;L — row-5 dates fall outside the T12 window","")))</f>
        <v/>
      </c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</row>
    <row r="5">
      <c r="A5" s="1" t="n"/>
      <c r="B5" s="1" t="n"/>
      <c r="C5" s="1" t="n"/>
      <c r="D5" s="47" t="n"/>
      <c r="E5" s="47" t="n"/>
      <c r="F5" s="47" t="n"/>
      <c r="G5" s="47" t="n"/>
      <c r="H5" s="47" t="n"/>
      <c r="I5" s="47" t="n"/>
      <c r="J5" s="47" t="n"/>
      <c r="K5" s="47" t="n"/>
      <c r="L5" s="47" t="n"/>
      <c r="M5" s="47" t="n"/>
      <c r="N5" s="47" t="n"/>
      <c r="O5" s="47" t="n"/>
      <c r="P5" s="47" t="n"/>
      <c r="Q5" s="17" t="inlineStr">
        <is>
          <t>12-Mo Total</t>
        </is>
      </c>
      <c r="R5" s="17" t="inlineStr">
        <is>
          <t>Annualized</t>
        </is>
      </c>
    </row>
    <row r="6">
      <c r="A6" s="1" t="n"/>
      <c r="B6" s="17" t="inlineStr">
        <is>
          <t>Slung Line (dropdown)</t>
        </is>
      </c>
      <c r="C6" s="17" t="inlineStr">
        <is>
          <t>Original Line Item</t>
        </is>
      </c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</row>
    <row r="7">
      <c r="A7" s="1" t="n"/>
      <c r="B7" s="9" t="n"/>
      <c r="C7" s="8" t="n"/>
      <c r="D7" s="38" t="n"/>
      <c r="E7" s="38" t="n"/>
      <c r="F7" s="38" t="n"/>
      <c r="G7" s="38" t="n"/>
      <c r="H7" s="38" t="n"/>
      <c r="I7" s="38" t="n"/>
      <c r="J7" s="38" t="n"/>
      <c r="K7" s="38" t="n"/>
      <c r="L7" s="38" t="n"/>
      <c r="M7" s="38" t="n"/>
      <c r="N7" s="38" t="n"/>
      <c r="O7" s="38" t="n"/>
      <c r="P7" s="38" t="n"/>
      <c r="Q7" s="51">
        <f>IF(COUNT(D7:O7)=0,"",SUM(D7:O7))</f>
        <v/>
      </c>
      <c r="R7" s="38" t="n"/>
    </row>
    <row r="8">
      <c r="A8" s="1" t="n"/>
      <c r="B8" s="9" t="n"/>
      <c r="C8" s="8" t="n"/>
      <c r="D8" s="38" t="n"/>
      <c r="E8" s="38" t="n"/>
      <c r="F8" s="38" t="n"/>
      <c r="G8" s="38" t="n"/>
      <c r="H8" s="38" t="n"/>
      <c r="I8" s="38" t="n"/>
      <c r="J8" s="38" t="n"/>
      <c r="K8" s="38" t="n"/>
      <c r="L8" s="38" t="n"/>
      <c r="M8" s="38" t="n"/>
      <c r="N8" s="38" t="n"/>
      <c r="O8" s="38" t="n"/>
      <c r="P8" s="38" t="n"/>
      <c r="Q8" s="51">
        <f>IF(COUNT(D8:O8)=0,"",SUM(D8:O8))</f>
        <v/>
      </c>
      <c r="R8" s="38" t="n"/>
    </row>
    <row r="9">
      <c r="A9" s="1" t="n"/>
      <c r="B9" s="9" t="n"/>
      <c r="C9" s="8" t="n"/>
      <c r="D9" s="38" t="n"/>
      <c r="E9" s="38" t="n"/>
      <c r="F9" s="38" t="n"/>
      <c r="G9" s="38" t="n"/>
      <c r="H9" s="38" t="n"/>
      <c r="I9" s="38" t="n"/>
      <c r="J9" s="38" t="n"/>
      <c r="K9" s="38" t="n"/>
      <c r="L9" s="38" t="n"/>
      <c r="M9" s="38" t="n"/>
      <c r="N9" s="38" t="n"/>
      <c r="O9" s="38" t="n"/>
      <c r="P9" s="38" t="n"/>
      <c r="Q9" s="51">
        <f>IF(COUNT(D9:O9)=0,"",SUM(D9:O9))</f>
        <v/>
      </c>
      <c r="R9" s="38" t="n"/>
    </row>
    <row r="10">
      <c r="A10" s="1" t="n"/>
      <c r="B10" s="9" t="n"/>
      <c r="C10" s="8" t="n"/>
      <c r="D10" s="38" t="n"/>
      <c r="E10" s="38" t="n"/>
      <c r="F10" s="38" t="n"/>
      <c r="G10" s="38" t="n"/>
      <c r="H10" s="38" t="n"/>
      <c r="I10" s="38" t="n"/>
      <c r="J10" s="38" t="n"/>
      <c r="K10" s="38" t="n"/>
      <c r="L10" s="38" t="n"/>
      <c r="M10" s="38" t="n"/>
      <c r="N10" s="38" t="n"/>
      <c r="O10" s="38" t="n"/>
      <c r="P10" s="38" t="n"/>
      <c r="Q10" s="51">
        <f>IF(COUNT(D10:O10)=0,"",SUM(D10:O10))</f>
        <v/>
      </c>
      <c r="R10" s="38" t="n"/>
    </row>
    <row r="11">
      <c r="A11" s="1" t="n"/>
      <c r="B11" s="9" t="n"/>
      <c r="C11" s="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51">
        <f>IF(COUNT(D11:O11)=0,"",SUM(D11:O11))</f>
        <v/>
      </c>
      <c r="R11" s="38" t="n"/>
    </row>
    <row r="12">
      <c r="A12" s="1" t="n"/>
      <c r="B12" s="9" t="n"/>
      <c r="C12" s="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51">
        <f>IF(COUNT(D12:O12)=0,"",SUM(D12:O12))</f>
        <v/>
      </c>
      <c r="R12" s="38" t="n"/>
    </row>
    <row r="13">
      <c r="A13" s="1" t="n"/>
      <c r="B13" s="9" t="n"/>
      <c r="C13" s="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51">
        <f>IF(COUNT(D13:O13)=0,"",SUM(D13:O13))</f>
        <v/>
      </c>
      <c r="R13" s="38" t="n"/>
    </row>
    <row r="14">
      <c r="A14" s="1" t="n"/>
      <c r="B14" s="9" t="n"/>
      <c r="C14" s="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51">
        <f>IF(COUNT(D14:O14)=0,"",SUM(D14:O14))</f>
        <v/>
      </c>
      <c r="R14" s="38" t="n"/>
    </row>
    <row r="15">
      <c r="A15" s="1" t="n"/>
      <c r="B15" s="9" t="n"/>
      <c r="C15" s="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51">
        <f>IF(COUNT(D15:O15)=0,"",SUM(D15:O15))</f>
        <v/>
      </c>
      <c r="R15" s="38" t="n"/>
    </row>
    <row r="16">
      <c r="A16" s="1" t="n"/>
      <c r="B16" s="9" t="n"/>
      <c r="C16" s="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51">
        <f>IF(COUNT(D16:O16)=0,"",SUM(D16:O16))</f>
        <v/>
      </c>
      <c r="R16" s="38" t="n"/>
    </row>
    <row r="17">
      <c r="A17" s="1" t="n"/>
      <c r="B17" s="9" t="n"/>
      <c r="C17" s="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51">
        <f>IF(COUNT(D17:O17)=0,"",SUM(D17:O17))</f>
        <v/>
      </c>
      <c r="R17" s="38" t="n"/>
    </row>
    <row r="18">
      <c r="A18" s="1" t="n"/>
      <c r="B18" s="9" t="n"/>
      <c r="C18" s="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51">
        <f>IF(COUNT(D18:O18)=0,"",SUM(D18:O18))</f>
        <v/>
      </c>
      <c r="R18" s="38" t="n"/>
    </row>
    <row r="19">
      <c r="A19" s="1" t="n"/>
      <c r="B19" s="9" t="n"/>
      <c r="C19" s="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51">
        <f>IF(COUNT(D19:O19)=0,"",SUM(D19:O19))</f>
        <v/>
      </c>
      <c r="R19" s="38" t="n"/>
    </row>
    <row r="20">
      <c r="A20" s="1" t="n"/>
      <c r="B20" s="9" t="n"/>
      <c r="C20" s="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51">
        <f>IF(COUNT(D20:O20)=0,"",SUM(D20:O20))</f>
        <v/>
      </c>
      <c r="R20" s="38" t="n"/>
    </row>
    <row r="21">
      <c r="A21" s="1" t="n"/>
      <c r="B21" s="9" t="n"/>
      <c r="C21" s="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51">
        <f>IF(COUNT(D21:O21)=0,"",SUM(D21:O21))</f>
        <v/>
      </c>
      <c r="R21" s="38" t="n"/>
    </row>
    <row r="22">
      <c r="A22" s="1" t="n"/>
      <c r="B22" s="9" t="n"/>
      <c r="C22" s="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51">
        <f>IF(COUNT(D22:O22)=0,"",SUM(D22:O22))</f>
        <v/>
      </c>
      <c r="R22" s="38" t="n"/>
    </row>
    <row r="23">
      <c r="A23" s="1" t="n"/>
      <c r="B23" s="9" t="n"/>
      <c r="C23" s="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51">
        <f>IF(COUNT(D23:O23)=0,"",SUM(D23:O23))</f>
        <v/>
      </c>
      <c r="R23" s="38" t="n"/>
    </row>
    <row r="24">
      <c r="A24" s="1" t="n"/>
      <c r="B24" s="9" t="n"/>
      <c r="C24" s="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51">
        <f>IF(COUNT(D24:O24)=0,"",SUM(D24:O24))</f>
        <v/>
      </c>
      <c r="R24" s="38" t="n"/>
    </row>
    <row r="25">
      <c r="A25" s="1" t="n"/>
      <c r="B25" s="9" t="n"/>
      <c r="C25" s="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51">
        <f>IF(COUNT(D25:O25)=0,"",SUM(D25:O25))</f>
        <v/>
      </c>
      <c r="R25" s="38" t="n"/>
    </row>
    <row r="26">
      <c r="A26" s="1" t="n"/>
      <c r="B26" s="9" t="n"/>
      <c r="C26" s="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51">
        <f>IF(COUNT(D26:O26)=0,"",SUM(D26:O26))</f>
        <v/>
      </c>
      <c r="R26" s="38" t="n"/>
    </row>
    <row r="27">
      <c r="A27" s="1" t="n"/>
      <c r="B27" s="9" t="n"/>
      <c r="C27" s="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51">
        <f>IF(COUNT(D27:O27)=0,"",SUM(D27:O27))</f>
        <v/>
      </c>
      <c r="R27" s="38" t="n"/>
    </row>
    <row r="28">
      <c r="A28" s="1" t="n"/>
      <c r="B28" s="9" t="n"/>
      <c r="C28" s="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51">
        <f>IF(COUNT(D28:O28)=0,"",SUM(D28:O28))</f>
        <v/>
      </c>
      <c r="R28" s="38" t="n"/>
    </row>
    <row r="29">
      <c r="A29" s="1" t="n"/>
      <c r="B29" s="9" t="n"/>
      <c r="C29" s="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51">
        <f>IF(COUNT(D29:O29)=0,"",SUM(D29:O29))</f>
        <v/>
      </c>
      <c r="R29" s="38" t="n"/>
    </row>
    <row r="30">
      <c r="A30" s="1" t="n"/>
      <c r="B30" s="9" t="n"/>
      <c r="C30" s="8" t="n"/>
      <c r="D30" s="38" t="n"/>
      <c r="E30" s="38" t="n"/>
      <c r="F30" s="38" t="n"/>
      <c r="G30" s="38" t="n"/>
      <c r="H30" s="38" t="n"/>
      <c r="I30" s="38" t="n"/>
      <c r="J30" s="38" t="n"/>
      <c r="K30" s="38" t="n"/>
      <c r="L30" s="38" t="n"/>
      <c r="M30" s="38" t="n"/>
      <c r="N30" s="38" t="n"/>
      <c r="O30" s="38" t="n"/>
      <c r="P30" s="38" t="n"/>
      <c r="Q30" s="51">
        <f>IF(COUNT(D30:O30)=0,"",SUM(D30:O30))</f>
        <v/>
      </c>
      <c r="R30" s="38" t="n"/>
    </row>
    <row r="31">
      <c r="A31" s="1" t="n"/>
      <c r="B31" s="9" t="n"/>
      <c r="C31" s="8" t="n"/>
      <c r="D31" s="38" t="n"/>
      <c r="E31" s="38" t="n"/>
      <c r="F31" s="38" t="n"/>
      <c r="G31" s="38" t="n"/>
      <c r="H31" s="38" t="n"/>
      <c r="I31" s="38" t="n"/>
      <c r="J31" s="38" t="n"/>
      <c r="K31" s="38" t="n"/>
      <c r="L31" s="38" t="n"/>
      <c r="M31" s="38" t="n"/>
      <c r="N31" s="38" t="n"/>
      <c r="O31" s="38" t="n"/>
      <c r="P31" s="38" t="n"/>
      <c r="Q31" s="51">
        <f>IF(COUNT(D31:O31)=0,"",SUM(D31:O31))</f>
        <v/>
      </c>
      <c r="R31" s="38" t="n"/>
    </row>
    <row r="32">
      <c r="A32" s="1" t="n"/>
      <c r="B32" s="9" t="n"/>
      <c r="C32" s="8" t="n"/>
      <c r="D32" s="38" t="n"/>
      <c r="E32" s="38" t="n"/>
      <c r="F32" s="38" t="n"/>
      <c r="G32" s="38" t="n"/>
      <c r="H32" s="38" t="n"/>
      <c r="I32" s="38" t="n"/>
      <c r="J32" s="38" t="n"/>
      <c r="K32" s="38" t="n"/>
      <c r="L32" s="38" t="n"/>
      <c r="M32" s="38" t="n"/>
      <c r="N32" s="38" t="n"/>
      <c r="O32" s="38" t="n"/>
      <c r="P32" s="38" t="n"/>
      <c r="Q32" s="51">
        <f>IF(COUNT(D32:O32)=0,"",SUM(D32:O32))</f>
        <v/>
      </c>
      <c r="R32" s="38" t="n"/>
    </row>
    <row r="33">
      <c r="A33" s="1" t="n"/>
      <c r="B33" s="9" t="n"/>
      <c r="C33" s="8" t="n"/>
      <c r="D33" s="38" t="n"/>
      <c r="E33" s="38" t="n"/>
      <c r="F33" s="38" t="n"/>
      <c r="G33" s="38" t="n"/>
      <c r="H33" s="38" t="n"/>
      <c r="I33" s="38" t="n"/>
      <c r="J33" s="38" t="n"/>
      <c r="K33" s="38" t="n"/>
      <c r="L33" s="38" t="n"/>
      <c r="M33" s="38" t="n"/>
      <c r="N33" s="38" t="n"/>
      <c r="O33" s="38" t="n"/>
      <c r="P33" s="38" t="n"/>
      <c r="Q33" s="51">
        <f>IF(COUNT(D33:O33)=0,"",SUM(D33:O33))</f>
        <v/>
      </c>
      <c r="R33" s="38" t="n"/>
    </row>
    <row r="34">
      <c r="A34" s="1" t="n"/>
      <c r="B34" s="9" t="n"/>
      <c r="C34" s="8" t="n"/>
      <c r="D34" s="38" t="n"/>
      <c r="E34" s="38" t="n"/>
      <c r="F34" s="38" t="n"/>
      <c r="G34" s="38" t="n"/>
      <c r="H34" s="38" t="n"/>
      <c r="I34" s="38" t="n"/>
      <c r="J34" s="38" t="n"/>
      <c r="K34" s="38" t="n"/>
      <c r="L34" s="38" t="n"/>
      <c r="M34" s="38" t="n"/>
      <c r="N34" s="38" t="n"/>
      <c r="O34" s="38" t="n"/>
      <c r="P34" s="38" t="n"/>
      <c r="Q34" s="51">
        <f>IF(COUNT(D34:O34)=0,"",SUM(D34:O34))</f>
        <v/>
      </c>
      <c r="R34" s="38" t="n"/>
    </row>
    <row r="35">
      <c r="A35" s="1" t="n"/>
      <c r="B35" s="9" t="n"/>
      <c r="C35" s="8" t="n"/>
      <c r="D35" s="38" t="n"/>
      <c r="E35" s="38" t="n"/>
      <c r="F35" s="38" t="n"/>
      <c r="G35" s="38" t="n"/>
      <c r="H35" s="38" t="n"/>
      <c r="I35" s="38" t="n"/>
      <c r="J35" s="38" t="n"/>
      <c r="K35" s="38" t="n"/>
      <c r="L35" s="38" t="n"/>
      <c r="M35" s="38" t="n"/>
      <c r="N35" s="38" t="n"/>
      <c r="O35" s="38" t="n"/>
      <c r="P35" s="38" t="n"/>
      <c r="Q35" s="51">
        <f>IF(COUNT(D35:O35)=0,"",SUM(D35:O35))</f>
        <v/>
      </c>
      <c r="R35" s="38" t="n"/>
    </row>
    <row r="36">
      <c r="A36" s="1" t="n"/>
      <c r="B36" s="9" t="n"/>
      <c r="C36" s="8" t="n"/>
      <c r="D36" s="38" t="n"/>
      <c r="E36" s="38" t="n"/>
      <c r="F36" s="38" t="n"/>
      <c r="G36" s="38" t="n"/>
      <c r="H36" s="38" t="n"/>
      <c r="I36" s="38" t="n"/>
      <c r="J36" s="38" t="n"/>
      <c r="K36" s="38" t="n"/>
      <c r="L36" s="38" t="n"/>
      <c r="M36" s="38" t="n"/>
      <c r="N36" s="38" t="n"/>
      <c r="O36" s="38" t="n"/>
      <c r="P36" s="38" t="n"/>
      <c r="Q36" s="51">
        <f>IF(COUNT(D36:O36)=0,"",SUM(D36:O36))</f>
        <v/>
      </c>
      <c r="R36" s="38" t="n"/>
    </row>
    <row r="37">
      <c r="A37" s="1" t="n"/>
      <c r="B37" s="9" t="n"/>
      <c r="C37" s="8" t="n"/>
      <c r="D37" s="38" t="n"/>
      <c r="E37" s="38" t="n"/>
      <c r="F37" s="38" t="n"/>
      <c r="G37" s="38" t="n"/>
      <c r="H37" s="38" t="n"/>
      <c r="I37" s="38" t="n"/>
      <c r="J37" s="38" t="n"/>
      <c r="K37" s="38" t="n"/>
      <c r="L37" s="38" t="n"/>
      <c r="M37" s="38" t="n"/>
      <c r="N37" s="38" t="n"/>
      <c r="O37" s="38" t="n"/>
      <c r="P37" s="38" t="n"/>
      <c r="Q37" s="51">
        <f>IF(COUNT(D37:O37)=0,"",SUM(D37:O37))</f>
        <v/>
      </c>
      <c r="R37" s="38" t="n"/>
    </row>
    <row r="38">
      <c r="A38" s="1" t="n"/>
      <c r="B38" s="9" t="n"/>
      <c r="C38" s="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  <c r="O38" s="38" t="n"/>
      <c r="P38" s="38" t="n"/>
      <c r="Q38" s="51">
        <f>IF(COUNT(D38:O38)=0,"",SUM(D38:O38))</f>
        <v/>
      </c>
      <c r="R38" s="38" t="n"/>
    </row>
    <row r="39">
      <c r="A39" s="1" t="n"/>
      <c r="B39" s="9" t="n"/>
      <c r="C39" s="8" t="n"/>
      <c r="D39" s="38" t="n"/>
      <c r="E39" s="38" t="n"/>
      <c r="F39" s="38" t="n"/>
      <c r="G39" s="38" t="n"/>
      <c r="H39" s="38" t="n"/>
      <c r="I39" s="38" t="n"/>
      <c r="J39" s="38" t="n"/>
      <c r="K39" s="38" t="n"/>
      <c r="L39" s="38" t="n"/>
      <c r="M39" s="38" t="n"/>
      <c r="N39" s="38" t="n"/>
      <c r="O39" s="38" t="n"/>
      <c r="P39" s="38" t="n"/>
      <c r="Q39" s="51">
        <f>IF(COUNT(D39:O39)=0,"",SUM(D39:O39))</f>
        <v/>
      </c>
      <c r="R39" s="38" t="n"/>
    </row>
    <row r="40">
      <c r="A40" s="1" t="n"/>
      <c r="B40" s="9" t="n"/>
      <c r="C40" s="8" t="n"/>
      <c r="D40" s="38" t="n"/>
      <c r="E40" s="38" t="n"/>
      <c r="F40" s="38" t="n"/>
      <c r="G40" s="38" t="n"/>
      <c r="H40" s="38" t="n"/>
      <c r="I40" s="38" t="n"/>
      <c r="J40" s="38" t="n"/>
      <c r="K40" s="38" t="n"/>
      <c r="L40" s="38" t="n"/>
      <c r="M40" s="38" t="n"/>
      <c r="N40" s="38" t="n"/>
      <c r="O40" s="38" t="n"/>
      <c r="P40" s="38" t="n"/>
      <c r="Q40" s="51">
        <f>IF(COUNT(D40:O40)=0,"",SUM(D40:O40))</f>
        <v/>
      </c>
      <c r="R40" s="38" t="n"/>
    </row>
    <row r="41">
      <c r="A41" s="1" t="n"/>
      <c r="B41" s="9" t="n"/>
      <c r="C41" s="8" t="n"/>
      <c r="D41" s="38" t="n"/>
      <c r="E41" s="38" t="n"/>
      <c r="F41" s="38" t="n"/>
      <c r="G41" s="38" t="n"/>
      <c r="H41" s="38" t="n"/>
      <c r="I41" s="38" t="n"/>
      <c r="J41" s="38" t="n"/>
      <c r="K41" s="38" t="n"/>
      <c r="L41" s="38" t="n"/>
      <c r="M41" s="38" t="n"/>
      <c r="N41" s="38" t="n"/>
      <c r="O41" s="38" t="n"/>
      <c r="P41" s="38" t="n"/>
      <c r="Q41" s="51">
        <f>IF(COUNT(D41:O41)=0,"",SUM(D41:O41))</f>
        <v/>
      </c>
      <c r="R41" s="38" t="n"/>
    </row>
    <row r="42">
      <c r="A42" s="1" t="n"/>
      <c r="B42" s="9" t="n"/>
      <c r="C42" s="8" t="n"/>
      <c r="D42" s="38" t="n"/>
      <c r="E42" s="38" t="n"/>
      <c r="F42" s="38" t="n"/>
      <c r="G42" s="38" t="n"/>
      <c r="H42" s="38" t="n"/>
      <c r="I42" s="38" t="n"/>
      <c r="J42" s="38" t="n"/>
      <c r="K42" s="38" t="n"/>
      <c r="L42" s="38" t="n"/>
      <c r="M42" s="38" t="n"/>
      <c r="N42" s="38" t="n"/>
      <c r="O42" s="38" t="n"/>
      <c r="P42" s="38" t="n"/>
      <c r="Q42" s="51">
        <f>IF(COUNT(D42:O42)=0,"",SUM(D42:O42))</f>
        <v/>
      </c>
      <c r="R42" s="38" t="n"/>
    </row>
    <row r="43">
      <c r="A43" s="1" t="n"/>
      <c r="B43" s="9" t="n"/>
      <c r="C43" s="8" t="n"/>
      <c r="D43" s="38" t="n"/>
      <c r="E43" s="38" t="n"/>
      <c r="F43" s="38" t="n"/>
      <c r="G43" s="38" t="n"/>
      <c r="H43" s="38" t="n"/>
      <c r="I43" s="38" t="n"/>
      <c r="J43" s="38" t="n"/>
      <c r="K43" s="38" t="n"/>
      <c r="L43" s="38" t="n"/>
      <c r="M43" s="38" t="n"/>
      <c r="N43" s="38" t="n"/>
      <c r="O43" s="38" t="n"/>
      <c r="P43" s="38" t="n"/>
      <c r="Q43" s="51">
        <f>IF(COUNT(D43:O43)=0,"",SUM(D43:O43))</f>
        <v/>
      </c>
      <c r="R43" s="38" t="n"/>
    </row>
    <row r="44">
      <c r="A44" s="1" t="n"/>
      <c r="B44" s="9" t="n"/>
      <c r="C44" s="8" t="n"/>
      <c r="D44" s="38" t="n"/>
      <c r="E44" s="38" t="n"/>
      <c r="F44" s="38" t="n"/>
      <c r="G44" s="38" t="n"/>
      <c r="H44" s="38" t="n"/>
      <c r="I44" s="38" t="n"/>
      <c r="J44" s="38" t="n"/>
      <c r="K44" s="38" t="n"/>
      <c r="L44" s="38" t="n"/>
      <c r="M44" s="38" t="n"/>
      <c r="N44" s="38" t="n"/>
      <c r="O44" s="38" t="n"/>
      <c r="P44" s="38" t="n"/>
      <c r="Q44" s="51">
        <f>IF(COUNT(D44:O44)=0,"",SUM(D44:O44))</f>
        <v/>
      </c>
      <c r="R44" s="38" t="n"/>
    </row>
    <row r="45">
      <c r="A45" s="1" t="n"/>
      <c r="B45" s="9" t="n"/>
      <c r="C45" s="8" t="n"/>
      <c r="D45" s="38" t="n"/>
      <c r="E45" s="38" t="n"/>
      <c r="F45" s="38" t="n"/>
      <c r="G45" s="38" t="n"/>
      <c r="H45" s="38" t="n"/>
      <c r="I45" s="38" t="n"/>
      <c r="J45" s="38" t="n"/>
      <c r="K45" s="38" t="n"/>
      <c r="L45" s="38" t="n"/>
      <c r="M45" s="38" t="n"/>
      <c r="N45" s="38" t="n"/>
      <c r="O45" s="38" t="n"/>
      <c r="P45" s="38" t="n"/>
      <c r="Q45" s="51">
        <f>IF(COUNT(D45:O45)=0,"",SUM(D45:O45))</f>
        <v/>
      </c>
      <c r="R45" s="38" t="n"/>
    </row>
    <row r="46">
      <c r="A46" s="1" t="n"/>
      <c r="B46" s="9" t="n"/>
      <c r="C46" s="8" t="n"/>
      <c r="D46" s="38" t="n"/>
      <c r="E46" s="38" t="n"/>
      <c r="F46" s="38" t="n"/>
      <c r="G46" s="38" t="n"/>
      <c r="H46" s="38" t="n"/>
      <c r="I46" s="38" t="n"/>
      <c r="J46" s="38" t="n"/>
      <c r="K46" s="38" t="n"/>
      <c r="L46" s="38" t="n"/>
      <c r="M46" s="38" t="n"/>
      <c r="N46" s="38" t="n"/>
      <c r="O46" s="38" t="n"/>
      <c r="P46" s="38" t="n"/>
      <c r="Q46" s="51">
        <f>IF(COUNT(D46:O46)=0,"",SUM(D46:O46))</f>
        <v/>
      </c>
      <c r="R46" s="38" t="n"/>
    </row>
    <row r="47">
      <c r="A47" s="1" t="n"/>
      <c r="B47" s="9" t="n"/>
      <c r="C47" s="8" t="n"/>
      <c r="D47" s="38" t="n"/>
      <c r="E47" s="38" t="n"/>
      <c r="F47" s="38" t="n"/>
      <c r="G47" s="38" t="n"/>
      <c r="H47" s="38" t="n"/>
      <c r="I47" s="38" t="n"/>
      <c r="J47" s="38" t="n"/>
      <c r="K47" s="38" t="n"/>
      <c r="L47" s="38" t="n"/>
      <c r="M47" s="38" t="n"/>
      <c r="N47" s="38" t="n"/>
      <c r="O47" s="38" t="n"/>
      <c r="P47" s="38" t="n"/>
      <c r="Q47" s="51">
        <f>IF(COUNT(D47:O47)=0,"",SUM(D47:O47))</f>
        <v/>
      </c>
      <c r="R47" s="38" t="n"/>
    </row>
    <row r="48">
      <c r="A48" s="1" t="n"/>
      <c r="B48" s="9" t="n"/>
      <c r="C48" s="8" t="n"/>
      <c r="D48" s="38" t="n"/>
      <c r="E48" s="38" t="n"/>
      <c r="F48" s="38" t="n"/>
      <c r="G48" s="38" t="n"/>
      <c r="H48" s="38" t="n"/>
      <c r="I48" s="38" t="n"/>
      <c r="J48" s="38" t="n"/>
      <c r="K48" s="38" t="n"/>
      <c r="L48" s="38" t="n"/>
      <c r="M48" s="38" t="n"/>
      <c r="N48" s="38" t="n"/>
      <c r="O48" s="38" t="n"/>
      <c r="P48" s="38" t="n"/>
      <c r="Q48" s="51">
        <f>IF(COUNT(D48:O48)=0,"",SUM(D48:O48))</f>
        <v/>
      </c>
      <c r="R48" s="38" t="n"/>
    </row>
    <row r="49">
      <c r="A49" s="1" t="n"/>
      <c r="B49" s="9" t="n"/>
      <c r="C49" s="8" t="n"/>
      <c r="D49" s="38" t="n"/>
      <c r="E49" s="38" t="n"/>
      <c r="F49" s="38" t="n"/>
      <c r="G49" s="38" t="n"/>
      <c r="H49" s="38" t="n"/>
      <c r="I49" s="38" t="n"/>
      <c r="J49" s="38" t="n"/>
      <c r="K49" s="38" t="n"/>
      <c r="L49" s="38" t="n"/>
      <c r="M49" s="38" t="n"/>
      <c r="N49" s="38" t="n"/>
      <c r="O49" s="38" t="n"/>
      <c r="P49" s="38" t="n"/>
      <c r="Q49" s="51">
        <f>IF(COUNT(D49:O49)=0,"",SUM(D49:O49))</f>
        <v/>
      </c>
      <c r="R49" s="38" t="n"/>
    </row>
    <row r="50">
      <c r="A50" s="1" t="n"/>
      <c r="B50" s="9" t="n"/>
      <c r="C50" s="8" t="n"/>
      <c r="D50" s="38" t="n"/>
      <c r="E50" s="38" t="n"/>
      <c r="F50" s="38" t="n"/>
      <c r="G50" s="38" t="n"/>
      <c r="H50" s="38" t="n"/>
      <c r="I50" s="38" t="n"/>
      <c r="J50" s="38" t="n"/>
      <c r="K50" s="38" t="n"/>
      <c r="L50" s="38" t="n"/>
      <c r="M50" s="38" t="n"/>
      <c r="N50" s="38" t="n"/>
      <c r="O50" s="38" t="n"/>
      <c r="P50" s="38" t="n"/>
      <c r="Q50" s="51">
        <f>IF(COUNT(D50:O50)=0,"",SUM(D50:O50))</f>
        <v/>
      </c>
      <c r="R50" s="38" t="n"/>
    </row>
    <row r="51">
      <c r="A51" s="1" t="n"/>
      <c r="B51" s="9" t="n"/>
      <c r="C51" s="8" t="n"/>
      <c r="D51" s="38" t="n"/>
      <c r="E51" s="38" t="n"/>
      <c r="F51" s="38" t="n"/>
      <c r="G51" s="38" t="n"/>
      <c r="H51" s="38" t="n"/>
      <c r="I51" s="38" t="n"/>
      <c r="J51" s="38" t="n"/>
      <c r="K51" s="38" t="n"/>
      <c r="L51" s="38" t="n"/>
      <c r="M51" s="38" t="n"/>
      <c r="N51" s="38" t="n"/>
      <c r="O51" s="38" t="n"/>
      <c r="P51" s="38" t="n"/>
      <c r="Q51" s="51">
        <f>IF(COUNT(D51:O51)=0,"",SUM(D51:O51))</f>
        <v/>
      </c>
      <c r="R51" s="38" t="n"/>
    </row>
    <row r="52">
      <c r="A52" s="1" t="n"/>
      <c r="B52" s="9" t="n"/>
      <c r="C52" s="8" t="n"/>
      <c r="D52" s="38" t="n"/>
      <c r="E52" s="38" t="n"/>
      <c r="F52" s="38" t="n"/>
      <c r="G52" s="38" t="n"/>
      <c r="H52" s="38" t="n"/>
      <c r="I52" s="38" t="n"/>
      <c r="J52" s="38" t="n"/>
      <c r="K52" s="38" t="n"/>
      <c r="L52" s="38" t="n"/>
      <c r="M52" s="38" t="n"/>
      <c r="N52" s="38" t="n"/>
      <c r="O52" s="38" t="n"/>
      <c r="P52" s="38" t="n"/>
      <c r="Q52" s="51">
        <f>IF(COUNT(D52:O52)=0,"",SUM(D52:O52))</f>
        <v/>
      </c>
      <c r="R52" s="38" t="n"/>
    </row>
    <row r="53">
      <c r="A53" s="1" t="n"/>
      <c r="B53" s="9" t="n"/>
      <c r="C53" s="8" t="n"/>
      <c r="D53" s="38" t="n"/>
      <c r="E53" s="38" t="n"/>
      <c r="F53" s="38" t="n"/>
      <c r="G53" s="38" t="n"/>
      <c r="H53" s="38" t="n"/>
      <c r="I53" s="38" t="n"/>
      <c r="J53" s="38" t="n"/>
      <c r="K53" s="38" t="n"/>
      <c r="L53" s="38" t="n"/>
      <c r="M53" s="38" t="n"/>
      <c r="N53" s="38" t="n"/>
      <c r="O53" s="38" t="n"/>
      <c r="P53" s="38" t="n"/>
      <c r="Q53" s="51">
        <f>IF(COUNT(D53:O53)=0,"",SUM(D53:O53))</f>
        <v/>
      </c>
      <c r="R53" s="38" t="n"/>
    </row>
    <row r="54">
      <c r="A54" s="1" t="n"/>
      <c r="B54" s="9" t="n"/>
      <c r="C54" s="8" t="n"/>
      <c r="D54" s="38" t="n"/>
      <c r="E54" s="38" t="n"/>
      <c r="F54" s="38" t="n"/>
      <c r="G54" s="38" t="n"/>
      <c r="H54" s="38" t="n"/>
      <c r="I54" s="38" t="n"/>
      <c r="J54" s="38" t="n"/>
      <c r="K54" s="38" t="n"/>
      <c r="L54" s="38" t="n"/>
      <c r="M54" s="38" t="n"/>
      <c r="N54" s="38" t="n"/>
      <c r="O54" s="38" t="n"/>
      <c r="P54" s="38" t="n"/>
      <c r="Q54" s="51">
        <f>IF(COUNT(D54:O54)=0,"",SUM(D54:O54))</f>
        <v/>
      </c>
      <c r="R54" s="38" t="n"/>
    </row>
    <row r="55">
      <c r="A55" s="1" t="n"/>
      <c r="B55" s="9" t="n"/>
      <c r="C55" s="8" t="n"/>
      <c r="D55" s="38" t="n"/>
      <c r="E55" s="38" t="n"/>
      <c r="F55" s="38" t="n"/>
      <c r="G55" s="38" t="n"/>
      <c r="H55" s="38" t="n"/>
      <c r="I55" s="38" t="n"/>
      <c r="J55" s="38" t="n"/>
      <c r="K55" s="38" t="n"/>
      <c r="L55" s="38" t="n"/>
      <c r="M55" s="38" t="n"/>
      <c r="N55" s="38" t="n"/>
      <c r="O55" s="38" t="n"/>
      <c r="P55" s="38" t="n"/>
      <c r="Q55" s="51">
        <f>IF(COUNT(D55:O55)=0,"",SUM(D55:O55))</f>
        <v/>
      </c>
      <c r="R55" s="38" t="n"/>
    </row>
    <row r="56">
      <c r="A56" s="1" t="n"/>
      <c r="B56" s="9" t="n"/>
      <c r="C56" s="8" t="n"/>
      <c r="D56" s="38" t="n"/>
      <c r="E56" s="38" t="n"/>
      <c r="F56" s="38" t="n"/>
      <c r="G56" s="38" t="n"/>
      <c r="H56" s="38" t="n"/>
      <c r="I56" s="38" t="n"/>
      <c r="J56" s="38" t="n"/>
      <c r="K56" s="38" t="n"/>
      <c r="L56" s="38" t="n"/>
      <c r="M56" s="38" t="n"/>
      <c r="N56" s="38" t="n"/>
      <c r="O56" s="38" t="n"/>
      <c r="P56" s="38" t="n"/>
      <c r="Q56" s="51">
        <f>IF(COUNT(D56:O56)=0,"",SUM(D56:O56))</f>
        <v/>
      </c>
      <c r="R56" s="38" t="n"/>
    </row>
    <row r="57">
      <c r="A57" s="1" t="n"/>
      <c r="B57" s="9" t="n"/>
      <c r="C57" s="8" t="n"/>
      <c r="D57" s="38" t="n"/>
      <c r="E57" s="38" t="n"/>
      <c r="F57" s="38" t="n"/>
      <c r="G57" s="38" t="n"/>
      <c r="H57" s="38" t="n"/>
      <c r="I57" s="38" t="n"/>
      <c r="J57" s="38" t="n"/>
      <c r="K57" s="38" t="n"/>
      <c r="L57" s="38" t="n"/>
      <c r="M57" s="38" t="n"/>
      <c r="N57" s="38" t="n"/>
      <c r="O57" s="38" t="n"/>
      <c r="P57" s="38" t="n"/>
      <c r="Q57" s="51">
        <f>IF(COUNT(D57:O57)=0,"",SUM(D57:O57))</f>
        <v/>
      </c>
      <c r="R57" s="38" t="n"/>
    </row>
    <row r="58">
      <c r="A58" s="1" t="n"/>
      <c r="B58" s="9" t="n"/>
      <c r="C58" s="8" t="n"/>
      <c r="D58" s="38" t="n"/>
      <c r="E58" s="38" t="n"/>
      <c r="F58" s="38" t="n"/>
      <c r="G58" s="38" t="n"/>
      <c r="H58" s="38" t="n"/>
      <c r="I58" s="38" t="n"/>
      <c r="J58" s="38" t="n"/>
      <c r="K58" s="38" t="n"/>
      <c r="L58" s="38" t="n"/>
      <c r="M58" s="38" t="n"/>
      <c r="N58" s="38" t="n"/>
      <c r="O58" s="38" t="n"/>
      <c r="P58" s="38" t="n"/>
      <c r="Q58" s="51">
        <f>IF(COUNT(D58:O58)=0,"",SUM(D58:O58))</f>
        <v/>
      </c>
      <c r="R58" s="38" t="n"/>
    </row>
    <row r="59">
      <c r="A59" s="1" t="n"/>
      <c r="B59" s="9" t="n"/>
      <c r="C59" s="8" t="n"/>
      <c r="D59" s="38" t="n"/>
      <c r="E59" s="38" t="n"/>
      <c r="F59" s="38" t="n"/>
      <c r="G59" s="38" t="n"/>
      <c r="H59" s="38" t="n"/>
      <c r="I59" s="38" t="n"/>
      <c r="J59" s="38" t="n"/>
      <c r="K59" s="38" t="n"/>
      <c r="L59" s="38" t="n"/>
      <c r="M59" s="38" t="n"/>
      <c r="N59" s="38" t="n"/>
      <c r="O59" s="38" t="n"/>
      <c r="P59" s="38" t="n"/>
      <c r="Q59" s="51">
        <f>IF(COUNT(D59:O59)=0,"",SUM(D59:O59))</f>
        <v/>
      </c>
      <c r="R59" s="38" t="n"/>
    </row>
    <row r="60">
      <c r="A60" s="1" t="n"/>
      <c r="B60" s="9" t="n"/>
      <c r="C60" s="8" t="n"/>
      <c r="D60" s="38" t="n"/>
      <c r="E60" s="38" t="n"/>
      <c r="F60" s="38" t="n"/>
      <c r="G60" s="38" t="n"/>
      <c r="H60" s="38" t="n"/>
      <c r="I60" s="38" t="n"/>
      <c r="J60" s="38" t="n"/>
      <c r="K60" s="38" t="n"/>
      <c r="L60" s="38" t="n"/>
      <c r="M60" s="38" t="n"/>
      <c r="N60" s="38" t="n"/>
      <c r="O60" s="38" t="n"/>
      <c r="P60" s="38" t="n"/>
      <c r="Q60" s="51">
        <f>IF(COUNT(D60:O60)=0,"",SUM(D60:O60))</f>
        <v/>
      </c>
      <c r="R60" s="38" t="n"/>
    </row>
    <row r="61">
      <c r="A61" s="1" t="n"/>
      <c r="B61" s="9" t="n"/>
      <c r="C61" s="8" t="n"/>
      <c r="D61" s="38" t="n"/>
      <c r="E61" s="38" t="n"/>
      <c r="F61" s="38" t="n"/>
      <c r="G61" s="38" t="n"/>
      <c r="H61" s="38" t="n"/>
      <c r="I61" s="38" t="n"/>
      <c r="J61" s="38" t="n"/>
      <c r="K61" s="38" t="n"/>
      <c r="L61" s="38" t="n"/>
      <c r="M61" s="38" t="n"/>
      <c r="N61" s="38" t="n"/>
      <c r="O61" s="38" t="n"/>
      <c r="P61" s="38" t="n"/>
      <c r="Q61" s="51">
        <f>IF(COUNT(D61:O61)=0,"",SUM(D61:O61))</f>
        <v/>
      </c>
      <c r="R61" s="38" t="n"/>
    </row>
    <row r="62">
      <c r="A62" s="1" t="n"/>
      <c r="B62" s="9" t="n"/>
      <c r="C62" s="8" t="n"/>
      <c r="D62" s="38" t="n"/>
      <c r="E62" s="38" t="n"/>
      <c r="F62" s="38" t="n"/>
      <c r="G62" s="38" t="n"/>
      <c r="H62" s="38" t="n"/>
      <c r="I62" s="38" t="n"/>
      <c r="J62" s="38" t="n"/>
      <c r="K62" s="38" t="n"/>
      <c r="L62" s="38" t="n"/>
      <c r="M62" s="38" t="n"/>
      <c r="N62" s="38" t="n"/>
      <c r="O62" s="38" t="n"/>
      <c r="P62" s="38" t="n"/>
      <c r="Q62" s="51">
        <f>IF(COUNT(D62:O62)=0,"",SUM(D62:O62))</f>
        <v/>
      </c>
      <c r="R62" s="38" t="n"/>
    </row>
    <row r="63">
      <c r="A63" s="1" t="n"/>
      <c r="B63" s="9" t="n"/>
      <c r="C63" s="8" t="n"/>
      <c r="D63" s="38" t="n"/>
      <c r="E63" s="38" t="n"/>
      <c r="F63" s="38" t="n"/>
      <c r="G63" s="38" t="n"/>
      <c r="H63" s="38" t="n"/>
      <c r="I63" s="38" t="n"/>
      <c r="J63" s="38" t="n"/>
      <c r="K63" s="38" t="n"/>
      <c r="L63" s="38" t="n"/>
      <c r="M63" s="38" t="n"/>
      <c r="N63" s="38" t="n"/>
      <c r="O63" s="38" t="n"/>
      <c r="P63" s="38" t="n"/>
      <c r="Q63" s="51">
        <f>IF(COUNT(D63:O63)=0,"",SUM(D63:O63))</f>
        <v/>
      </c>
      <c r="R63" s="38" t="n"/>
    </row>
    <row r="64">
      <c r="A64" s="1" t="n"/>
      <c r="B64" s="9" t="n"/>
      <c r="C64" s="8" t="n"/>
      <c r="D64" s="38" t="n"/>
      <c r="E64" s="38" t="n"/>
      <c r="F64" s="38" t="n"/>
      <c r="G64" s="38" t="n"/>
      <c r="H64" s="38" t="n"/>
      <c r="I64" s="38" t="n"/>
      <c r="J64" s="38" t="n"/>
      <c r="K64" s="38" t="n"/>
      <c r="L64" s="38" t="n"/>
      <c r="M64" s="38" t="n"/>
      <c r="N64" s="38" t="n"/>
      <c r="O64" s="38" t="n"/>
      <c r="P64" s="38" t="n"/>
      <c r="Q64" s="51">
        <f>IF(COUNT(D64:O64)=0,"",SUM(D64:O64))</f>
        <v/>
      </c>
      <c r="R64" s="38" t="n"/>
    </row>
    <row r="65">
      <c r="A65" s="1" t="n"/>
      <c r="B65" s="9" t="n"/>
      <c r="C65" s="8" t="n"/>
      <c r="D65" s="38" t="n"/>
      <c r="E65" s="38" t="n"/>
      <c r="F65" s="38" t="n"/>
      <c r="G65" s="38" t="n"/>
      <c r="H65" s="38" t="n"/>
      <c r="I65" s="38" t="n"/>
      <c r="J65" s="38" t="n"/>
      <c r="K65" s="38" t="n"/>
      <c r="L65" s="38" t="n"/>
      <c r="M65" s="38" t="n"/>
      <c r="N65" s="38" t="n"/>
      <c r="O65" s="38" t="n"/>
      <c r="P65" s="38" t="n"/>
      <c r="Q65" s="51">
        <f>IF(COUNT(D65:O65)=0,"",SUM(D65:O65))</f>
        <v/>
      </c>
      <c r="R65" s="38" t="n"/>
    </row>
    <row r="66">
      <c r="A66" s="1" t="n"/>
      <c r="B66" s="9" t="n"/>
      <c r="C66" s="8" t="n"/>
      <c r="D66" s="38" t="n"/>
      <c r="E66" s="38" t="n"/>
      <c r="F66" s="38" t="n"/>
      <c r="G66" s="38" t="n"/>
      <c r="H66" s="38" t="n"/>
      <c r="I66" s="38" t="n"/>
      <c r="J66" s="38" t="n"/>
      <c r="K66" s="38" t="n"/>
      <c r="L66" s="38" t="n"/>
      <c r="M66" s="38" t="n"/>
      <c r="N66" s="38" t="n"/>
      <c r="O66" s="38" t="n"/>
      <c r="P66" s="38" t="n"/>
      <c r="Q66" s="51">
        <f>IF(COUNT(D66:O66)=0,"",SUM(D66:O66))</f>
        <v/>
      </c>
      <c r="R66" s="38" t="n"/>
    </row>
    <row r="67">
      <c r="A67" s="1" t="n"/>
      <c r="B67" s="9" t="n"/>
      <c r="C67" s="8" t="n"/>
      <c r="D67" s="38" t="n"/>
      <c r="E67" s="38" t="n"/>
      <c r="F67" s="38" t="n"/>
      <c r="G67" s="38" t="n"/>
      <c r="H67" s="38" t="n"/>
      <c r="I67" s="38" t="n"/>
      <c r="J67" s="38" t="n"/>
      <c r="K67" s="38" t="n"/>
      <c r="L67" s="38" t="n"/>
      <c r="M67" s="38" t="n"/>
      <c r="N67" s="38" t="n"/>
      <c r="O67" s="38" t="n"/>
      <c r="P67" s="38" t="n"/>
      <c r="Q67" s="51">
        <f>IF(COUNT(D67:O67)=0,"",SUM(D67:O67))</f>
        <v/>
      </c>
      <c r="R67" s="38" t="n"/>
    </row>
    <row r="68">
      <c r="A68" s="1" t="n"/>
      <c r="B68" s="9" t="n"/>
      <c r="C68" s="8" t="n"/>
      <c r="D68" s="38" t="n"/>
      <c r="E68" s="38" t="n"/>
      <c r="F68" s="38" t="n"/>
      <c r="G68" s="38" t="n"/>
      <c r="H68" s="38" t="n"/>
      <c r="I68" s="38" t="n"/>
      <c r="J68" s="38" t="n"/>
      <c r="K68" s="38" t="n"/>
      <c r="L68" s="38" t="n"/>
      <c r="M68" s="38" t="n"/>
      <c r="N68" s="38" t="n"/>
      <c r="O68" s="38" t="n"/>
      <c r="P68" s="38" t="n"/>
      <c r="Q68" s="51">
        <f>IF(COUNT(D68:O68)=0,"",SUM(D68:O68))</f>
        <v/>
      </c>
      <c r="R68" s="38" t="n"/>
    </row>
    <row r="69">
      <c r="A69" s="1" t="n"/>
      <c r="B69" s="9" t="n"/>
      <c r="C69" s="8" t="n"/>
      <c r="D69" s="38" t="n"/>
      <c r="E69" s="38" t="n"/>
      <c r="F69" s="38" t="n"/>
      <c r="G69" s="38" t="n"/>
      <c r="H69" s="38" t="n"/>
      <c r="I69" s="38" t="n"/>
      <c r="J69" s="38" t="n"/>
      <c r="K69" s="38" t="n"/>
      <c r="L69" s="38" t="n"/>
      <c r="M69" s="38" t="n"/>
      <c r="N69" s="38" t="n"/>
      <c r="O69" s="38" t="n"/>
      <c r="P69" s="38" t="n"/>
      <c r="Q69" s="51">
        <f>IF(COUNT(D69:O69)=0,"",SUM(D69:O69))</f>
        <v/>
      </c>
      <c r="R69" s="38" t="n"/>
    </row>
    <row r="70">
      <c r="A70" s="1" t="n"/>
      <c r="B70" s="9" t="n"/>
      <c r="C70" s="8" t="n"/>
      <c r="D70" s="38" t="n"/>
      <c r="E70" s="38" t="n"/>
      <c r="F70" s="38" t="n"/>
      <c r="G70" s="38" t="n"/>
      <c r="H70" s="38" t="n"/>
      <c r="I70" s="38" t="n"/>
      <c r="J70" s="38" t="n"/>
      <c r="K70" s="38" t="n"/>
      <c r="L70" s="38" t="n"/>
      <c r="M70" s="38" t="n"/>
      <c r="N70" s="38" t="n"/>
      <c r="O70" s="38" t="n"/>
      <c r="P70" s="38" t="n"/>
      <c r="Q70" s="51">
        <f>IF(COUNT(D70:O70)=0,"",SUM(D70:O70))</f>
        <v/>
      </c>
      <c r="R70" s="38" t="n"/>
    </row>
    <row r="71">
      <c r="A71" s="1" t="n"/>
      <c r="B71" s="9" t="n"/>
      <c r="C71" s="8" t="n"/>
      <c r="D71" s="38" t="n"/>
      <c r="E71" s="38" t="n"/>
      <c r="F71" s="38" t="n"/>
      <c r="G71" s="38" t="n"/>
      <c r="H71" s="38" t="n"/>
      <c r="I71" s="38" t="n"/>
      <c r="J71" s="38" t="n"/>
      <c r="K71" s="38" t="n"/>
      <c r="L71" s="38" t="n"/>
      <c r="M71" s="38" t="n"/>
      <c r="N71" s="38" t="n"/>
      <c r="O71" s="38" t="n"/>
      <c r="P71" s="38" t="n"/>
      <c r="Q71" s="51">
        <f>IF(COUNT(D71:O71)=0,"",SUM(D71:O71))</f>
        <v/>
      </c>
      <c r="R71" s="38" t="n"/>
    </row>
    <row r="72">
      <c r="A72" s="1" t="n"/>
      <c r="B72" s="9" t="n"/>
      <c r="C72" s="8" t="n"/>
      <c r="D72" s="38" t="n"/>
      <c r="E72" s="38" t="n"/>
      <c r="F72" s="38" t="n"/>
      <c r="G72" s="38" t="n"/>
      <c r="H72" s="38" t="n"/>
      <c r="I72" s="38" t="n"/>
      <c r="J72" s="38" t="n"/>
      <c r="K72" s="38" t="n"/>
      <c r="L72" s="38" t="n"/>
      <c r="M72" s="38" t="n"/>
      <c r="N72" s="38" t="n"/>
      <c r="O72" s="38" t="n"/>
      <c r="P72" s="38" t="n"/>
      <c r="Q72" s="51">
        <f>IF(COUNT(D72:O72)=0,"",SUM(D72:O72))</f>
        <v/>
      </c>
      <c r="R72" s="38" t="n"/>
    </row>
    <row r="73">
      <c r="A73" s="1" t="n"/>
      <c r="B73" s="9" t="n"/>
      <c r="C73" s="8" t="n"/>
      <c r="D73" s="38" t="n"/>
      <c r="E73" s="38" t="n"/>
      <c r="F73" s="38" t="n"/>
      <c r="G73" s="38" t="n"/>
      <c r="H73" s="38" t="n"/>
      <c r="I73" s="38" t="n"/>
      <c r="J73" s="38" t="n"/>
      <c r="K73" s="38" t="n"/>
      <c r="L73" s="38" t="n"/>
      <c r="M73" s="38" t="n"/>
      <c r="N73" s="38" t="n"/>
      <c r="O73" s="38" t="n"/>
      <c r="P73" s="38" t="n"/>
      <c r="Q73" s="51">
        <f>IF(COUNT(D73:O73)=0,"",SUM(D73:O73))</f>
        <v/>
      </c>
      <c r="R73" s="38" t="n"/>
    </row>
    <row r="74">
      <c r="A74" s="1" t="n"/>
      <c r="B74" s="9" t="n"/>
      <c r="C74" s="8" t="n"/>
      <c r="D74" s="38" t="n"/>
      <c r="E74" s="38" t="n"/>
      <c r="F74" s="38" t="n"/>
      <c r="G74" s="38" t="n"/>
      <c r="H74" s="38" t="n"/>
      <c r="I74" s="38" t="n"/>
      <c r="J74" s="38" t="n"/>
      <c r="K74" s="38" t="n"/>
      <c r="L74" s="38" t="n"/>
      <c r="M74" s="38" t="n"/>
      <c r="N74" s="38" t="n"/>
      <c r="O74" s="38" t="n"/>
      <c r="P74" s="38" t="n"/>
      <c r="Q74" s="51">
        <f>IF(COUNT(D74:O74)=0,"",SUM(D74:O74))</f>
        <v/>
      </c>
      <c r="R74" s="38" t="n"/>
    </row>
    <row r="75">
      <c r="A75" s="1" t="n"/>
      <c r="B75" s="9" t="n"/>
      <c r="C75" s="8" t="n"/>
      <c r="D75" s="38" t="n"/>
      <c r="E75" s="38" t="n"/>
      <c r="F75" s="38" t="n"/>
      <c r="G75" s="38" t="n"/>
      <c r="H75" s="38" t="n"/>
      <c r="I75" s="38" t="n"/>
      <c r="J75" s="38" t="n"/>
      <c r="K75" s="38" t="n"/>
      <c r="L75" s="38" t="n"/>
      <c r="M75" s="38" t="n"/>
      <c r="N75" s="38" t="n"/>
      <c r="O75" s="38" t="n"/>
      <c r="P75" s="38" t="n"/>
      <c r="Q75" s="51">
        <f>IF(COUNT(D75:O75)=0,"",SUM(D75:O75))</f>
        <v/>
      </c>
      <c r="R75" s="38" t="n"/>
    </row>
    <row r="76">
      <c r="A76" s="1" t="n"/>
      <c r="B76" s="9" t="n"/>
      <c r="C76" s="8" t="n"/>
      <c r="D76" s="38" t="n"/>
      <c r="E76" s="38" t="n"/>
      <c r="F76" s="38" t="n"/>
      <c r="G76" s="38" t="n"/>
      <c r="H76" s="38" t="n"/>
      <c r="I76" s="38" t="n"/>
      <c r="J76" s="38" t="n"/>
      <c r="K76" s="38" t="n"/>
      <c r="L76" s="38" t="n"/>
      <c r="M76" s="38" t="n"/>
      <c r="N76" s="38" t="n"/>
      <c r="O76" s="38" t="n"/>
      <c r="P76" s="38" t="n"/>
      <c r="Q76" s="51">
        <f>IF(COUNT(D76:O76)=0,"",SUM(D76:O76))</f>
        <v/>
      </c>
      <c r="R76" s="38" t="n"/>
    </row>
    <row r="77">
      <c r="A77" s="1" t="n"/>
      <c r="B77" s="9" t="n"/>
      <c r="C77" s="8" t="n"/>
      <c r="D77" s="38" t="n"/>
      <c r="E77" s="38" t="n"/>
      <c r="F77" s="38" t="n"/>
      <c r="G77" s="38" t="n"/>
      <c r="H77" s="38" t="n"/>
      <c r="I77" s="38" t="n"/>
      <c r="J77" s="38" t="n"/>
      <c r="K77" s="38" t="n"/>
      <c r="L77" s="38" t="n"/>
      <c r="M77" s="38" t="n"/>
      <c r="N77" s="38" t="n"/>
      <c r="O77" s="38" t="n"/>
      <c r="P77" s="38" t="n"/>
      <c r="Q77" s="51">
        <f>IF(COUNT(D77:O77)=0,"",SUM(D77:O77))</f>
        <v/>
      </c>
      <c r="R77" s="38" t="n"/>
    </row>
    <row r="78">
      <c r="A78" s="1" t="n"/>
      <c r="B78" s="9" t="n"/>
      <c r="C78" s="8" t="n"/>
      <c r="D78" s="38" t="n"/>
      <c r="E78" s="38" t="n"/>
      <c r="F78" s="38" t="n"/>
      <c r="G78" s="38" t="n"/>
      <c r="H78" s="38" t="n"/>
      <c r="I78" s="38" t="n"/>
      <c r="J78" s="38" t="n"/>
      <c r="K78" s="38" t="n"/>
      <c r="L78" s="38" t="n"/>
      <c r="M78" s="38" t="n"/>
      <c r="N78" s="38" t="n"/>
      <c r="O78" s="38" t="n"/>
      <c r="P78" s="38" t="n"/>
      <c r="Q78" s="51">
        <f>IF(COUNT(D78:O78)=0,"",SUM(D78:O78))</f>
        <v/>
      </c>
      <c r="R78" s="38" t="n"/>
    </row>
    <row r="79">
      <c r="A79" s="1" t="n"/>
      <c r="B79" s="9" t="n"/>
      <c r="C79" s="8" t="n"/>
      <c r="D79" s="38" t="n"/>
      <c r="E79" s="38" t="n"/>
      <c r="F79" s="38" t="n"/>
      <c r="G79" s="38" t="n"/>
      <c r="H79" s="38" t="n"/>
      <c r="I79" s="38" t="n"/>
      <c r="J79" s="38" t="n"/>
      <c r="K79" s="38" t="n"/>
      <c r="L79" s="38" t="n"/>
      <c r="M79" s="38" t="n"/>
      <c r="N79" s="38" t="n"/>
      <c r="O79" s="38" t="n"/>
      <c r="P79" s="38" t="n"/>
      <c r="Q79" s="51">
        <f>IF(COUNT(D79:O79)=0,"",SUM(D79:O79))</f>
        <v/>
      </c>
      <c r="R79" s="38" t="n"/>
    </row>
    <row r="80">
      <c r="A80" s="1" t="n"/>
      <c r="B80" s="9" t="n"/>
      <c r="C80" s="8" t="n"/>
      <c r="D80" s="38" t="n"/>
      <c r="E80" s="38" t="n"/>
      <c r="F80" s="38" t="n"/>
      <c r="G80" s="38" t="n"/>
      <c r="H80" s="38" t="n"/>
      <c r="I80" s="38" t="n"/>
      <c r="J80" s="38" t="n"/>
      <c r="K80" s="38" t="n"/>
      <c r="L80" s="38" t="n"/>
      <c r="M80" s="38" t="n"/>
      <c r="N80" s="38" t="n"/>
      <c r="O80" s="38" t="n"/>
      <c r="P80" s="38" t="n"/>
      <c r="Q80" s="51">
        <f>IF(COUNT(D80:O80)=0,"",SUM(D80:O80))</f>
        <v/>
      </c>
      <c r="R80" s="38" t="n"/>
    </row>
    <row r="81">
      <c r="A81" s="1" t="n"/>
      <c r="B81" s="9" t="n"/>
      <c r="C81" s="8" t="n"/>
      <c r="D81" s="38" t="n"/>
      <c r="E81" s="38" t="n"/>
      <c r="F81" s="38" t="n"/>
      <c r="G81" s="38" t="n"/>
      <c r="H81" s="38" t="n"/>
      <c r="I81" s="38" t="n"/>
      <c r="J81" s="38" t="n"/>
      <c r="K81" s="38" t="n"/>
      <c r="L81" s="38" t="n"/>
      <c r="M81" s="38" t="n"/>
      <c r="N81" s="38" t="n"/>
      <c r="O81" s="38" t="n"/>
      <c r="P81" s="38" t="n"/>
      <c r="Q81" s="51">
        <f>IF(COUNT(D81:O81)=0,"",SUM(D81:O81))</f>
        <v/>
      </c>
      <c r="R81" s="38" t="n"/>
    </row>
    <row r="82">
      <c r="A82" s="1" t="n"/>
      <c r="B82" s="9" t="n"/>
      <c r="C82" s="8" t="n"/>
      <c r="D82" s="38" t="n"/>
      <c r="E82" s="38" t="n"/>
      <c r="F82" s="38" t="n"/>
      <c r="G82" s="38" t="n"/>
      <c r="H82" s="38" t="n"/>
      <c r="I82" s="38" t="n"/>
      <c r="J82" s="38" t="n"/>
      <c r="K82" s="38" t="n"/>
      <c r="L82" s="38" t="n"/>
      <c r="M82" s="38" t="n"/>
      <c r="N82" s="38" t="n"/>
      <c r="O82" s="38" t="n"/>
      <c r="P82" s="38" t="n"/>
      <c r="Q82" s="51">
        <f>IF(COUNT(D82:O82)=0,"",SUM(D82:O82))</f>
        <v/>
      </c>
      <c r="R82" s="38" t="n"/>
    </row>
    <row r="83">
      <c r="A83" s="1" t="n"/>
      <c r="B83" s="9" t="n"/>
      <c r="C83" s="8" t="n"/>
      <c r="D83" s="38" t="n"/>
      <c r="E83" s="38" t="n"/>
      <c r="F83" s="38" t="n"/>
      <c r="G83" s="38" t="n"/>
      <c r="H83" s="38" t="n"/>
      <c r="I83" s="38" t="n"/>
      <c r="J83" s="38" t="n"/>
      <c r="K83" s="38" t="n"/>
      <c r="L83" s="38" t="n"/>
      <c r="M83" s="38" t="n"/>
      <c r="N83" s="38" t="n"/>
      <c r="O83" s="38" t="n"/>
      <c r="P83" s="38" t="n"/>
      <c r="Q83" s="51">
        <f>IF(COUNT(D83:O83)=0,"",SUM(D83:O83))</f>
        <v/>
      </c>
      <c r="R83" s="38" t="n"/>
    </row>
    <row r="84">
      <c r="A84" s="1" t="n"/>
      <c r="B84" s="9" t="n"/>
      <c r="C84" s="8" t="n"/>
      <c r="D84" s="38" t="n"/>
      <c r="E84" s="38" t="n"/>
      <c r="F84" s="38" t="n"/>
      <c r="G84" s="38" t="n"/>
      <c r="H84" s="38" t="n"/>
      <c r="I84" s="38" t="n"/>
      <c r="J84" s="38" t="n"/>
      <c r="K84" s="38" t="n"/>
      <c r="L84" s="38" t="n"/>
      <c r="M84" s="38" t="n"/>
      <c r="N84" s="38" t="n"/>
      <c r="O84" s="38" t="n"/>
      <c r="P84" s="38" t="n"/>
      <c r="Q84" s="51">
        <f>IF(COUNT(D84:O84)=0,"",SUM(D84:O84))</f>
        <v/>
      </c>
      <c r="R84" s="38" t="n"/>
    </row>
    <row r="85">
      <c r="A85" s="1" t="n"/>
      <c r="B85" s="9" t="n"/>
      <c r="C85" s="8" t="n"/>
      <c r="D85" s="38" t="n"/>
      <c r="E85" s="38" t="n"/>
      <c r="F85" s="38" t="n"/>
      <c r="G85" s="38" t="n"/>
      <c r="H85" s="38" t="n"/>
      <c r="I85" s="38" t="n"/>
      <c r="J85" s="38" t="n"/>
      <c r="K85" s="38" t="n"/>
      <c r="L85" s="38" t="n"/>
      <c r="M85" s="38" t="n"/>
      <c r="N85" s="38" t="n"/>
      <c r="O85" s="38" t="n"/>
      <c r="P85" s="38" t="n"/>
      <c r="Q85" s="51">
        <f>IF(COUNT(D85:O85)=0,"",SUM(D85:O85))</f>
        <v/>
      </c>
      <c r="R85" s="38" t="n"/>
    </row>
    <row r="86">
      <c r="A86" s="1" t="n"/>
      <c r="B86" s="9" t="n"/>
      <c r="C86" s="8" t="n"/>
      <c r="D86" s="38" t="n"/>
      <c r="E86" s="38" t="n"/>
      <c r="F86" s="38" t="n"/>
      <c r="G86" s="38" t="n"/>
      <c r="H86" s="38" t="n"/>
      <c r="I86" s="38" t="n"/>
      <c r="J86" s="38" t="n"/>
      <c r="K86" s="38" t="n"/>
      <c r="L86" s="38" t="n"/>
      <c r="M86" s="38" t="n"/>
      <c r="N86" s="38" t="n"/>
      <c r="O86" s="38" t="n"/>
      <c r="P86" s="38" t="n"/>
      <c r="Q86" s="51">
        <f>IF(COUNT(D86:O86)=0,"",SUM(D86:O86))</f>
        <v/>
      </c>
      <c r="R86" s="38" t="n"/>
    </row>
    <row r="87">
      <c r="A87" s="1" t="n"/>
      <c r="B87" s="9" t="n"/>
      <c r="C87" s="8" t="n"/>
      <c r="D87" s="38" t="n"/>
      <c r="E87" s="38" t="n"/>
      <c r="F87" s="38" t="n"/>
      <c r="G87" s="38" t="n"/>
      <c r="H87" s="38" t="n"/>
      <c r="I87" s="38" t="n"/>
      <c r="J87" s="38" t="n"/>
      <c r="K87" s="38" t="n"/>
      <c r="L87" s="38" t="n"/>
      <c r="M87" s="38" t="n"/>
      <c r="N87" s="38" t="n"/>
      <c r="O87" s="38" t="n"/>
      <c r="P87" s="38" t="n"/>
      <c r="Q87" s="51">
        <f>IF(COUNT(D87:O87)=0,"",SUM(D87:O87))</f>
        <v/>
      </c>
      <c r="R87" s="38" t="n"/>
    </row>
    <row r="88">
      <c r="A88" s="1" t="n"/>
      <c r="B88" s="9" t="n"/>
      <c r="C88" s="8" t="n"/>
      <c r="D88" s="38" t="n"/>
      <c r="E88" s="38" t="n"/>
      <c r="F88" s="38" t="n"/>
      <c r="G88" s="38" t="n"/>
      <c r="H88" s="38" t="n"/>
      <c r="I88" s="38" t="n"/>
      <c r="J88" s="38" t="n"/>
      <c r="K88" s="38" t="n"/>
      <c r="L88" s="38" t="n"/>
      <c r="M88" s="38" t="n"/>
      <c r="N88" s="38" t="n"/>
      <c r="O88" s="38" t="n"/>
      <c r="P88" s="38" t="n"/>
      <c r="Q88" s="51">
        <f>IF(COUNT(D88:O88)=0,"",SUM(D88:O88))</f>
        <v/>
      </c>
      <c r="R88" s="38" t="n"/>
    </row>
    <row r="89">
      <c r="A89" s="1" t="n"/>
      <c r="B89" s="9" t="n"/>
      <c r="C89" s="8" t="n"/>
      <c r="D89" s="38" t="n"/>
      <c r="E89" s="38" t="n"/>
      <c r="F89" s="38" t="n"/>
      <c r="G89" s="38" t="n"/>
      <c r="H89" s="38" t="n"/>
      <c r="I89" s="38" t="n"/>
      <c r="J89" s="38" t="n"/>
      <c r="K89" s="38" t="n"/>
      <c r="L89" s="38" t="n"/>
      <c r="M89" s="38" t="n"/>
      <c r="N89" s="38" t="n"/>
      <c r="O89" s="38" t="n"/>
      <c r="P89" s="38" t="n"/>
      <c r="Q89" s="51">
        <f>IF(COUNT(D89:O89)=0,"",SUM(D89:O89))</f>
        <v/>
      </c>
      <c r="R89" s="38" t="n"/>
    </row>
    <row r="90">
      <c r="A90" s="1" t="n"/>
      <c r="B90" s="9" t="n"/>
      <c r="C90" s="8" t="n"/>
      <c r="D90" s="38" t="n"/>
      <c r="E90" s="38" t="n"/>
      <c r="F90" s="38" t="n"/>
      <c r="G90" s="38" t="n"/>
      <c r="H90" s="38" t="n"/>
      <c r="I90" s="38" t="n"/>
      <c r="J90" s="38" t="n"/>
      <c r="K90" s="38" t="n"/>
      <c r="L90" s="38" t="n"/>
      <c r="M90" s="38" t="n"/>
      <c r="N90" s="38" t="n"/>
      <c r="O90" s="38" t="n"/>
      <c r="P90" s="38" t="n"/>
      <c r="Q90" s="51">
        <f>IF(COUNT(D90:O90)=0,"",SUM(D90:O90))</f>
        <v/>
      </c>
      <c r="R90" s="38" t="n"/>
    </row>
    <row r="91">
      <c r="A91" s="1" t="n"/>
      <c r="B91" s="9" t="n"/>
      <c r="C91" s="8" t="n"/>
      <c r="D91" s="38" t="n"/>
      <c r="E91" s="38" t="n"/>
      <c r="F91" s="38" t="n"/>
      <c r="G91" s="38" t="n"/>
      <c r="H91" s="38" t="n"/>
      <c r="I91" s="38" t="n"/>
      <c r="J91" s="38" t="n"/>
      <c r="K91" s="38" t="n"/>
      <c r="L91" s="38" t="n"/>
      <c r="M91" s="38" t="n"/>
      <c r="N91" s="38" t="n"/>
      <c r="O91" s="38" t="n"/>
      <c r="P91" s="38" t="n"/>
      <c r="Q91" s="51">
        <f>IF(COUNT(D91:O91)=0,"",SUM(D91:O91))</f>
        <v/>
      </c>
      <c r="R91" s="38" t="n"/>
    </row>
    <row r="92">
      <c r="A92" s="1" t="n"/>
      <c r="B92" s="9" t="n"/>
      <c r="C92" s="8" t="n"/>
      <c r="D92" s="38" t="n"/>
      <c r="E92" s="38" t="n"/>
      <c r="F92" s="38" t="n"/>
      <c r="G92" s="38" t="n"/>
      <c r="H92" s="38" t="n"/>
      <c r="I92" s="38" t="n"/>
      <c r="J92" s="38" t="n"/>
      <c r="K92" s="38" t="n"/>
      <c r="L92" s="38" t="n"/>
      <c r="M92" s="38" t="n"/>
      <c r="N92" s="38" t="n"/>
      <c r="O92" s="38" t="n"/>
      <c r="P92" s="38" t="n"/>
      <c r="Q92" s="51">
        <f>IF(COUNT(D92:O92)=0,"",SUM(D92:O92))</f>
        <v/>
      </c>
      <c r="R92" s="38" t="n"/>
    </row>
    <row r="93">
      <c r="A93" s="1" t="n"/>
      <c r="B93" s="9" t="n"/>
      <c r="C93" s="8" t="n"/>
      <c r="D93" s="38" t="n"/>
      <c r="E93" s="38" t="n"/>
      <c r="F93" s="38" t="n"/>
      <c r="G93" s="38" t="n"/>
      <c r="H93" s="38" t="n"/>
      <c r="I93" s="38" t="n"/>
      <c r="J93" s="38" t="n"/>
      <c r="K93" s="38" t="n"/>
      <c r="L93" s="38" t="n"/>
      <c r="M93" s="38" t="n"/>
      <c r="N93" s="38" t="n"/>
      <c r="O93" s="38" t="n"/>
      <c r="P93" s="38" t="n"/>
      <c r="Q93" s="51">
        <f>IF(COUNT(D93:O93)=0,"",SUM(D93:O93))</f>
        <v/>
      </c>
      <c r="R93" s="38" t="n"/>
    </row>
    <row r="94">
      <c r="A94" s="1" t="n"/>
      <c r="B94" s="9" t="n"/>
      <c r="C94" s="8" t="n"/>
      <c r="D94" s="38" t="n"/>
      <c r="E94" s="38" t="n"/>
      <c r="F94" s="38" t="n"/>
      <c r="G94" s="38" t="n"/>
      <c r="H94" s="38" t="n"/>
      <c r="I94" s="38" t="n"/>
      <c r="J94" s="38" t="n"/>
      <c r="K94" s="38" t="n"/>
      <c r="L94" s="38" t="n"/>
      <c r="M94" s="38" t="n"/>
      <c r="N94" s="38" t="n"/>
      <c r="O94" s="38" t="n"/>
      <c r="P94" s="38" t="n"/>
      <c r="Q94" s="51">
        <f>IF(COUNT(D94:O94)=0,"",SUM(D94:O94))</f>
        <v/>
      </c>
      <c r="R94" s="38" t="n"/>
    </row>
    <row r="95">
      <c r="A95" s="1" t="n"/>
      <c r="B95" s="9" t="n"/>
      <c r="C95" s="8" t="n"/>
      <c r="D95" s="38" t="n"/>
      <c r="E95" s="38" t="n"/>
      <c r="F95" s="38" t="n"/>
      <c r="G95" s="38" t="n"/>
      <c r="H95" s="38" t="n"/>
      <c r="I95" s="38" t="n"/>
      <c r="J95" s="38" t="n"/>
      <c r="K95" s="38" t="n"/>
      <c r="L95" s="38" t="n"/>
      <c r="M95" s="38" t="n"/>
      <c r="N95" s="38" t="n"/>
      <c r="O95" s="38" t="n"/>
      <c r="P95" s="38" t="n"/>
      <c r="Q95" s="51">
        <f>IF(COUNT(D95:O95)=0,"",SUM(D95:O95))</f>
        <v/>
      </c>
      <c r="R95" s="38" t="n"/>
    </row>
    <row r="96">
      <c r="A96" s="1" t="n"/>
      <c r="B96" s="9" t="n"/>
      <c r="C96" s="8" t="n"/>
      <c r="D96" s="38" t="n"/>
      <c r="E96" s="38" t="n"/>
      <c r="F96" s="38" t="n"/>
      <c r="G96" s="38" t="n"/>
      <c r="H96" s="38" t="n"/>
      <c r="I96" s="38" t="n"/>
      <c r="J96" s="38" t="n"/>
      <c r="K96" s="38" t="n"/>
      <c r="L96" s="38" t="n"/>
      <c r="M96" s="38" t="n"/>
      <c r="N96" s="38" t="n"/>
      <c r="O96" s="38" t="n"/>
      <c r="P96" s="38" t="n"/>
      <c r="Q96" s="51">
        <f>IF(COUNT(D96:O96)=0,"",SUM(D96:O96))</f>
        <v/>
      </c>
      <c r="R96" s="38" t="n"/>
    </row>
    <row r="97">
      <c r="A97" s="1" t="n"/>
      <c r="B97" s="9" t="n"/>
      <c r="C97" s="8" t="n"/>
      <c r="D97" s="38" t="n"/>
      <c r="E97" s="38" t="n"/>
      <c r="F97" s="38" t="n"/>
      <c r="G97" s="38" t="n"/>
      <c r="H97" s="38" t="n"/>
      <c r="I97" s="38" t="n"/>
      <c r="J97" s="38" t="n"/>
      <c r="K97" s="38" t="n"/>
      <c r="L97" s="38" t="n"/>
      <c r="M97" s="38" t="n"/>
      <c r="N97" s="38" t="n"/>
      <c r="O97" s="38" t="n"/>
      <c r="P97" s="38" t="n"/>
      <c r="Q97" s="51">
        <f>IF(COUNT(D97:O97)=0,"",SUM(D97:O97))</f>
        <v/>
      </c>
      <c r="R97" s="38" t="n"/>
    </row>
    <row r="98">
      <c r="A98" s="1" t="n"/>
      <c r="B98" s="9" t="n"/>
      <c r="C98" s="8" t="n"/>
      <c r="D98" s="38" t="n"/>
      <c r="E98" s="38" t="n"/>
      <c r="F98" s="38" t="n"/>
      <c r="G98" s="38" t="n"/>
      <c r="H98" s="38" t="n"/>
      <c r="I98" s="38" t="n"/>
      <c r="J98" s="38" t="n"/>
      <c r="K98" s="38" t="n"/>
      <c r="L98" s="38" t="n"/>
      <c r="M98" s="38" t="n"/>
      <c r="N98" s="38" t="n"/>
      <c r="O98" s="38" t="n"/>
      <c r="P98" s="38" t="n"/>
      <c r="Q98" s="51">
        <f>IF(COUNT(D98:O98)=0,"",SUM(D98:O98))</f>
        <v/>
      </c>
      <c r="R98" s="38" t="n"/>
    </row>
    <row r="99">
      <c r="A99" s="1" t="n"/>
      <c r="B99" s="9" t="n"/>
      <c r="C99" s="8" t="n"/>
      <c r="D99" s="38" t="n"/>
      <c r="E99" s="38" t="n"/>
      <c r="F99" s="38" t="n"/>
      <c r="G99" s="38" t="n"/>
      <c r="H99" s="38" t="n"/>
      <c r="I99" s="38" t="n"/>
      <c r="J99" s="38" t="n"/>
      <c r="K99" s="38" t="n"/>
      <c r="L99" s="38" t="n"/>
      <c r="M99" s="38" t="n"/>
      <c r="N99" s="38" t="n"/>
      <c r="O99" s="38" t="n"/>
      <c r="P99" s="38" t="n"/>
      <c r="Q99" s="51">
        <f>IF(COUNT(D99:O99)=0,"",SUM(D99:O99))</f>
        <v/>
      </c>
      <c r="R99" s="38" t="n"/>
    </row>
    <row r="100">
      <c r="A100" s="1" t="n"/>
      <c r="B100" s="9" t="n"/>
      <c r="C100" s="8" t="n"/>
      <c r="D100" s="38" t="n"/>
      <c r="E100" s="38" t="n"/>
      <c r="F100" s="38" t="n"/>
      <c r="G100" s="38" t="n"/>
      <c r="H100" s="38" t="n"/>
      <c r="I100" s="38" t="n"/>
      <c r="J100" s="38" t="n"/>
      <c r="K100" s="38" t="n"/>
      <c r="L100" s="38" t="n"/>
      <c r="M100" s="38" t="n"/>
      <c r="N100" s="38" t="n"/>
      <c r="O100" s="38" t="n"/>
      <c r="P100" s="38" t="n"/>
      <c r="Q100" s="51">
        <f>IF(COUNT(D100:O100)=0,"",SUM(D100:O100))</f>
        <v/>
      </c>
      <c r="R100" s="38" t="n"/>
    </row>
    <row r="101">
      <c r="A101" s="1" t="n"/>
      <c r="B101" s="9" t="n"/>
      <c r="C101" s="8" t="n"/>
      <c r="D101" s="38" t="n"/>
      <c r="E101" s="38" t="n"/>
      <c r="F101" s="38" t="n"/>
      <c r="G101" s="38" t="n"/>
      <c r="H101" s="38" t="n"/>
      <c r="I101" s="38" t="n"/>
      <c r="J101" s="38" t="n"/>
      <c r="K101" s="38" t="n"/>
      <c r="L101" s="38" t="n"/>
      <c r="M101" s="38" t="n"/>
      <c r="N101" s="38" t="n"/>
      <c r="O101" s="38" t="n"/>
      <c r="P101" s="38" t="n"/>
      <c r="Q101" s="51">
        <f>IF(COUNT(D101:O101)=0,"",SUM(D101:O101))</f>
        <v/>
      </c>
      <c r="R101" s="38" t="n"/>
    </row>
    <row r="102">
      <c r="A102" s="1" t="n"/>
      <c r="B102" s="9" t="n"/>
      <c r="C102" s="8" t="n"/>
      <c r="D102" s="38" t="n"/>
      <c r="E102" s="38" t="n"/>
      <c r="F102" s="38" t="n"/>
      <c r="G102" s="38" t="n"/>
      <c r="H102" s="38" t="n"/>
      <c r="I102" s="38" t="n"/>
      <c r="J102" s="38" t="n"/>
      <c r="K102" s="38" t="n"/>
      <c r="L102" s="38" t="n"/>
      <c r="M102" s="38" t="n"/>
      <c r="N102" s="38" t="n"/>
      <c r="O102" s="38" t="n"/>
      <c r="P102" s="38" t="n"/>
      <c r="Q102" s="51">
        <f>IF(COUNT(D102:O102)=0,"",SUM(D102:O102))</f>
        <v/>
      </c>
      <c r="R102" s="38" t="n"/>
    </row>
    <row r="103">
      <c r="A103" s="1" t="n"/>
      <c r="B103" s="9" t="n"/>
      <c r="C103" s="8" t="n"/>
      <c r="D103" s="38" t="n"/>
      <c r="E103" s="38" t="n"/>
      <c r="F103" s="38" t="n"/>
      <c r="G103" s="38" t="n"/>
      <c r="H103" s="38" t="n"/>
      <c r="I103" s="38" t="n"/>
      <c r="J103" s="38" t="n"/>
      <c r="K103" s="38" t="n"/>
      <c r="L103" s="38" t="n"/>
      <c r="M103" s="38" t="n"/>
      <c r="N103" s="38" t="n"/>
      <c r="O103" s="38" t="n"/>
      <c r="P103" s="38" t="n"/>
      <c r="Q103" s="51">
        <f>IF(COUNT(D103:O103)=0,"",SUM(D103:O103))</f>
        <v/>
      </c>
      <c r="R103" s="38" t="n"/>
    </row>
    <row r="104">
      <c r="A104" s="1" t="n"/>
      <c r="B104" s="9" t="n"/>
      <c r="C104" s="8" t="n"/>
      <c r="D104" s="38" t="n"/>
      <c r="E104" s="38" t="n"/>
      <c r="F104" s="38" t="n"/>
      <c r="G104" s="38" t="n"/>
      <c r="H104" s="38" t="n"/>
      <c r="I104" s="38" t="n"/>
      <c r="J104" s="38" t="n"/>
      <c r="K104" s="38" t="n"/>
      <c r="L104" s="38" t="n"/>
      <c r="M104" s="38" t="n"/>
      <c r="N104" s="38" t="n"/>
      <c r="O104" s="38" t="n"/>
      <c r="P104" s="38" t="n"/>
      <c r="Q104" s="51">
        <f>IF(COUNT(D104:O104)=0,"",SUM(D104:O104))</f>
        <v/>
      </c>
      <c r="R104" s="38" t="n"/>
    </row>
    <row r="105">
      <c r="A105" s="1" t="n"/>
      <c r="B105" s="9" t="n"/>
      <c r="C105" s="8" t="n"/>
      <c r="D105" s="38" t="n"/>
      <c r="E105" s="38" t="n"/>
      <c r="F105" s="38" t="n"/>
      <c r="G105" s="38" t="n"/>
      <c r="H105" s="38" t="n"/>
      <c r="I105" s="38" t="n"/>
      <c r="J105" s="38" t="n"/>
      <c r="K105" s="38" t="n"/>
      <c r="L105" s="38" t="n"/>
      <c r="M105" s="38" t="n"/>
      <c r="N105" s="38" t="n"/>
      <c r="O105" s="38" t="n"/>
      <c r="P105" s="38" t="n"/>
      <c r="Q105" s="51">
        <f>IF(COUNT(D105:O105)=0,"",SUM(D105:O105))</f>
        <v/>
      </c>
      <c r="R105" s="38" t="n"/>
    </row>
    <row r="106">
      <c r="A106" s="1" t="n"/>
      <c r="B106" s="9" t="n"/>
      <c r="C106" s="8" t="n"/>
      <c r="D106" s="38" t="n"/>
      <c r="E106" s="38" t="n"/>
      <c r="F106" s="38" t="n"/>
      <c r="G106" s="38" t="n"/>
      <c r="H106" s="38" t="n"/>
      <c r="I106" s="38" t="n"/>
      <c r="J106" s="38" t="n"/>
      <c r="K106" s="38" t="n"/>
      <c r="L106" s="38" t="n"/>
      <c r="M106" s="38" t="n"/>
      <c r="N106" s="38" t="n"/>
      <c r="O106" s="38" t="n"/>
      <c r="P106" s="38" t="n"/>
      <c r="Q106" s="51">
        <f>IF(COUNT(D106:O106)=0,"",SUM(D106:O106))</f>
        <v/>
      </c>
      <c r="R106" s="38" t="n"/>
    </row>
    <row r="107">
      <c r="A107" s="1" t="n"/>
      <c r="B107" s="9" t="n"/>
      <c r="C107" s="8" t="n"/>
      <c r="D107" s="38" t="n"/>
      <c r="E107" s="38" t="n"/>
      <c r="F107" s="38" t="n"/>
      <c r="G107" s="38" t="n"/>
      <c r="H107" s="38" t="n"/>
      <c r="I107" s="38" t="n"/>
      <c r="J107" s="38" t="n"/>
      <c r="K107" s="38" t="n"/>
      <c r="L107" s="38" t="n"/>
      <c r="M107" s="38" t="n"/>
      <c r="N107" s="38" t="n"/>
      <c r="O107" s="38" t="n"/>
      <c r="P107" s="38" t="n"/>
      <c r="Q107" s="51">
        <f>IF(COUNT(D107:O107)=0,"",SUM(D107:O107))</f>
        <v/>
      </c>
      <c r="R107" s="38" t="n"/>
    </row>
    <row r="108">
      <c r="A108" s="1" t="n"/>
      <c r="B108" s="9" t="n"/>
      <c r="C108" s="8" t="n"/>
      <c r="D108" s="38" t="n"/>
      <c r="E108" s="38" t="n"/>
      <c r="F108" s="38" t="n"/>
      <c r="G108" s="38" t="n"/>
      <c r="H108" s="38" t="n"/>
      <c r="I108" s="38" t="n"/>
      <c r="J108" s="38" t="n"/>
      <c r="K108" s="38" t="n"/>
      <c r="L108" s="38" t="n"/>
      <c r="M108" s="38" t="n"/>
      <c r="N108" s="38" t="n"/>
      <c r="O108" s="38" t="n"/>
      <c r="P108" s="38" t="n"/>
      <c r="Q108" s="51">
        <f>IF(COUNT(D108:O108)=0,"",SUM(D108:O108))</f>
        <v/>
      </c>
      <c r="R108" s="38" t="n"/>
    </row>
    <row r="109">
      <c r="A109" s="1" t="n"/>
      <c r="B109" s="9" t="n"/>
      <c r="C109" s="8" t="n"/>
      <c r="D109" s="38" t="n"/>
      <c r="E109" s="38" t="n"/>
      <c r="F109" s="38" t="n"/>
      <c r="G109" s="38" t="n"/>
      <c r="H109" s="38" t="n"/>
      <c r="I109" s="38" t="n"/>
      <c r="J109" s="38" t="n"/>
      <c r="K109" s="38" t="n"/>
      <c r="L109" s="38" t="n"/>
      <c r="M109" s="38" t="n"/>
      <c r="N109" s="38" t="n"/>
      <c r="O109" s="38" t="n"/>
      <c r="P109" s="38" t="n"/>
      <c r="Q109" s="51">
        <f>IF(COUNT(D109:O109)=0,"",SUM(D109:O109))</f>
        <v/>
      </c>
      <c r="R109" s="38" t="n"/>
    </row>
    <row r="110">
      <c r="A110" s="1" t="n"/>
      <c r="B110" s="9" t="n"/>
      <c r="C110" s="8" t="n"/>
      <c r="D110" s="38" t="n"/>
      <c r="E110" s="38" t="n"/>
      <c r="F110" s="38" t="n"/>
      <c r="G110" s="38" t="n"/>
      <c r="H110" s="38" t="n"/>
      <c r="I110" s="38" t="n"/>
      <c r="J110" s="38" t="n"/>
      <c r="K110" s="38" t="n"/>
      <c r="L110" s="38" t="n"/>
      <c r="M110" s="38" t="n"/>
      <c r="N110" s="38" t="n"/>
      <c r="O110" s="38" t="n"/>
      <c r="P110" s="38" t="n"/>
      <c r="Q110" s="51">
        <f>IF(COUNT(D110:O110)=0,"",SUM(D110:O110))</f>
        <v/>
      </c>
      <c r="R110" s="38" t="n"/>
    </row>
    <row r="111">
      <c r="A111" s="1" t="n"/>
      <c r="B111" s="9" t="n"/>
      <c r="C111" s="8" t="n"/>
      <c r="D111" s="38" t="n"/>
      <c r="E111" s="38" t="n"/>
      <c r="F111" s="38" t="n"/>
      <c r="G111" s="38" t="n"/>
      <c r="H111" s="38" t="n"/>
      <c r="I111" s="38" t="n"/>
      <c r="J111" s="38" t="n"/>
      <c r="K111" s="38" t="n"/>
      <c r="L111" s="38" t="n"/>
      <c r="M111" s="38" t="n"/>
      <c r="N111" s="38" t="n"/>
      <c r="O111" s="38" t="n"/>
      <c r="P111" s="38" t="n"/>
      <c r="Q111" s="51">
        <f>IF(COUNT(D111:O111)=0,"",SUM(D111:O111))</f>
        <v/>
      </c>
      <c r="R111" s="38" t="n"/>
    </row>
    <row r="112">
      <c r="A112" s="1" t="n"/>
      <c r="B112" s="9" t="n"/>
      <c r="C112" s="8" t="n"/>
      <c r="D112" s="38" t="n"/>
      <c r="E112" s="38" t="n"/>
      <c r="F112" s="38" t="n"/>
      <c r="G112" s="38" t="n"/>
      <c r="H112" s="38" t="n"/>
      <c r="I112" s="38" t="n"/>
      <c r="J112" s="38" t="n"/>
      <c r="K112" s="38" t="n"/>
      <c r="L112" s="38" t="n"/>
      <c r="M112" s="38" t="n"/>
      <c r="N112" s="38" t="n"/>
      <c r="O112" s="38" t="n"/>
      <c r="P112" s="38" t="n"/>
      <c r="Q112" s="51">
        <f>IF(COUNT(D112:O112)=0,"",SUM(D112:O112))</f>
        <v/>
      </c>
      <c r="R112" s="38" t="n"/>
    </row>
    <row r="113">
      <c r="A113" s="1" t="n"/>
      <c r="B113" s="9" t="n"/>
      <c r="C113" s="8" t="n"/>
      <c r="D113" s="38" t="n"/>
      <c r="E113" s="38" t="n"/>
      <c r="F113" s="38" t="n"/>
      <c r="G113" s="38" t="n"/>
      <c r="H113" s="38" t="n"/>
      <c r="I113" s="38" t="n"/>
      <c r="J113" s="38" t="n"/>
      <c r="K113" s="38" t="n"/>
      <c r="L113" s="38" t="n"/>
      <c r="M113" s="38" t="n"/>
      <c r="N113" s="38" t="n"/>
      <c r="O113" s="38" t="n"/>
      <c r="P113" s="38" t="n"/>
      <c r="Q113" s="51">
        <f>IF(COUNT(D113:O113)=0,"",SUM(D113:O113))</f>
        <v/>
      </c>
      <c r="R113" s="38" t="n"/>
    </row>
    <row r="114">
      <c r="A114" s="1" t="n"/>
      <c r="B114" s="9" t="n"/>
      <c r="C114" s="8" t="n"/>
      <c r="D114" s="38" t="n"/>
      <c r="E114" s="38" t="n"/>
      <c r="F114" s="38" t="n"/>
      <c r="G114" s="38" t="n"/>
      <c r="H114" s="38" t="n"/>
      <c r="I114" s="38" t="n"/>
      <c r="J114" s="38" t="n"/>
      <c r="K114" s="38" t="n"/>
      <c r="L114" s="38" t="n"/>
      <c r="M114" s="38" t="n"/>
      <c r="N114" s="38" t="n"/>
      <c r="O114" s="38" t="n"/>
      <c r="P114" s="38" t="n"/>
      <c r="Q114" s="51">
        <f>IF(COUNT(D114:O114)=0,"",SUM(D114:O114))</f>
        <v/>
      </c>
      <c r="R114" s="38" t="n"/>
    </row>
    <row r="115">
      <c r="A115" s="1" t="n"/>
      <c r="B115" s="9" t="n"/>
      <c r="C115" s="8" t="n"/>
      <c r="D115" s="38" t="n"/>
      <c r="E115" s="38" t="n"/>
      <c r="F115" s="38" t="n"/>
      <c r="G115" s="38" t="n"/>
      <c r="H115" s="38" t="n"/>
      <c r="I115" s="38" t="n"/>
      <c r="J115" s="38" t="n"/>
      <c r="K115" s="38" t="n"/>
      <c r="L115" s="38" t="n"/>
      <c r="M115" s="38" t="n"/>
      <c r="N115" s="38" t="n"/>
      <c r="O115" s="38" t="n"/>
      <c r="P115" s="38" t="n"/>
      <c r="Q115" s="51">
        <f>IF(COUNT(D115:O115)=0,"",SUM(D115:O115))</f>
        <v/>
      </c>
      <c r="R115" s="38" t="n"/>
    </row>
    <row r="116">
      <c r="A116" s="1" t="n"/>
      <c r="B116" s="9" t="n"/>
      <c r="C116" s="8" t="n"/>
      <c r="D116" s="38" t="n"/>
      <c r="E116" s="38" t="n"/>
      <c r="F116" s="38" t="n"/>
      <c r="G116" s="38" t="n"/>
      <c r="H116" s="38" t="n"/>
      <c r="I116" s="38" t="n"/>
      <c r="J116" s="38" t="n"/>
      <c r="K116" s="38" t="n"/>
      <c r="L116" s="38" t="n"/>
      <c r="M116" s="38" t="n"/>
      <c r="N116" s="38" t="n"/>
      <c r="O116" s="38" t="n"/>
      <c r="P116" s="38" t="n"/>
      <c r="Q116" s="51">
        <f>IF(COUNT(D116:O116)=0,"",SUM(D116:O116))</f>
        <v/>
      </c>
      <c r="R116" s="38" t="n"/>
    </row>
    <row r="117">
      <c r="A117" s="1" t="n"/>
      <c r="B117" s="9" t="n"/>
      <c r="C117" s="8" t="n"/>
      <c r="D117" s="38" t="n"/>
      <c r="E117" s="38" t="n"/>
      <c r="F117" s="38" t="n"/>
      <c r="G117" s="38" t="n"/>
      <c r="H117" s="38" t="n"/>
      <c r="I117" s="38" t="n"/>
      <c r="J117" s="38" t="n"/>
      <c r="K117" s="38" t="n"/>
      <c r="L117" s="38" t="n"/>
      <c r="M117" s="38" t="n"/>
      <c r="N117" s="38" t="n"/>
      <c r="O117" s="38" t="n"/>
      <c r="P117" s="38" t="n"/>
      <c r="Q117" s="51">
        <f>IF(COUNT(D117:O117)=0,"",SUM(D117:O117))</f>
        <v/>
      </c>
      <c r="R117" s="38" t="n"/>
    </row>
    <row r="118">
      <c r="A118" s="1" t="n"/>
      <c r="B118" s="9" t="n"/>
      <c r="C118" s="8" t="n"/>
      <c r="D118" s="38" t="n"/>
      <c r="E118" s="38" t="n"/>
      <c r="F118" s="38" t="n"/>
      <c r="G118" s="38" t="n"/>
      <c r="H118" s="38" t="n"/>
      <c r="I118" s="38" t="n"/>
      <c r="J118" s="38" t="n"/>
      <c r="K118" s="38" t="n"/>
      <c r="L118" s="38" t="n"/>
      <c r="M118" s="38" t="n"/>
      <c r="N118" s="38" t="n"/>
      <c r="O118" s="38" t="n"/>
      <c r="P118" s="38" t="n"/>
      <c r="Q118" s="51">
        <f>IF(COUNT(D118:O118)=0,"",SUM(D118:O118))</f>
        <v/>
      </c>
      <c r="R118" s="38" t="n"/>
    </row>
    <row r="119">
      <c r="A119" s="1" t="n"/>
      <c r="B119" s="9" t="n"/>
      <c r="C119" s="8" t="n"/>
      <c r="D119" s="38" t="n"/>
      <c r="E119" s="38" t="n"/>
      <c r="F119" s="38" t="n"/>
      <c r="G119" s="38" t="n"/>
      <c r="H119" s="38" t="n"/>
      <c r="I119" s="38" t="n"/>
      <c r="J119" s="38" t="n"/>
      <c r="K119" s="38" t="n"/>
      <c r="L119" s="38" t="n"/>
      <c r="M119" s="38" t="n"/>
      <c r="N119" s="38" t="n"/>
      <c r="O119" s="38" t="n"/>
      <c r="P119" s="38" t="n"/>
      <c r="Q119" s="51">
        <f>IF(COUNT(D119:O119)=0,"",SUM(D119:O119))</f>
        <v/>
      </c>
      <c r="R119" s="38" t="n"/>
    </row>
    <row r="120">
      <c r="A120" s="1" t="n"/>
      <c r="B120" s="9" t="n"/>
      <c r="C120" s="8" t="n"/>
      <c r="D120" s="38" t="n"/>
      <c r="E120" s="38" t="n"/>
      <c r="F120" s="38" t="n"/>
      <c r="G120" s="38" t="n"/>
      <c r="H120" s="38" t="n"/>
      <c r="I120" s="38" t="n"/>
      <c r="J120" s="38" t="n"/>
      <c r="K120" s="38" t="n"/>
      <c r="L120" s="38" t="n"/>
      <c r="M120" s="38" t="n"/>
      <c r="N120" s="38" t="n"/>
      <c r="O120" s="38" t="n"/>
      <c r="P120" s="38" t="n"/>
      <c r="Q120" s="51">
        <f>IF(COUNT(D120:O120)=0,"",SUM(D120:O120))</f>
        <v/>
      </c>
      <c r="R120" s="38" t="n"/>
    </row>
    <row r="121">
      <c r="A121" s="1" t="n"/>
      <c r="B121" s="9" t="n"/>
      <c r="C121" s="8" t="n"/>
      <c r="D121" s="38" t="n"/>
      <c r="E121" s="38" t="n"/>
      <c r="F121" s="38" t="n"/>
      <c r="G121" s="38" t="n"/>
      <c r="H121" s="38" t="n"/>
      <c r="I121" s="38" t="n"/>
      <c r="J121" s="38" t="n"/>
      <c r="K121" s="38" t="n"/>
      <c r="L121" s="38" t="n"/>
      <c r="M121" s="38" t="n"/>
      <c r="N121" s="38" t="n"/>
      <c r="O121" s="38" t="n"/>
      <c r="P121" s="38" t="n"/>
      <c r="Q121" s="51">
        <f>IF(COUNT(D121:O121)=0,"",SUM(D121:O121))</f>
        <v/>
      </c>
      <c r="R121" s="38" t="n"/>
    </row>
    <row r="122">
      <c r="A122" s="1" t="n"/>
      <c r="B122" s="9" t="n"/>
      <c r="C122" s="8" t="n"/>
      <c r="D122" s="38" t="n"/>
      <c r="E122" s="38" t="n"/>
      <c r="F122" s="38" t="n"/>
      <c r="G122" s="38" t="n"/>
      <c r="H122" s="38" t="n"/>
      <c r="I122" s="38" t="n"/>
      <c r="J122" s="38" t="n"/>
      <c r="K122" s="38" t="n"/>
      <c r="L122" s="38" t="n"/>
      <c r="M122" s="38" t="n"/>
      <c r="N122" s="38" t="n"/>
      <c r="O122" s="38" t="n"/>
      <c r="P122" s="38" t="n"/>
      <c r="Q122" s="51">
        <f>IF(COUNT(D122:O122)=0,"",SUM(D122:O122))</f>
        <v/>
      </c>
      <c r="R122" s="38" t="n"/>
    </row>
    <row r="123">
      <c r="A123" s="1" t="n"/>
      <c r="B123" s="9" t="n"/>
      <c r="C123" s="8" t="n"/>
      <c r="D123" s="38" t="n"/>
      <c r="E123" s="38" t="n"/>
      <c r="F123" s="38" t="n"/>
      <c r="G123" s="38" t="n"/>
      <c r="H123" s="38" t="n"/>
      <c r="I123" s="38" t="n"/>
      <c r="J123" s="38" t="n"/>
      <c r="K123" s="38" t="n"/>
      <c r="L123" s="38" t="n"/>
      <c r="M123" s="38" t="n"/>
      <c r="N123" s="38" t="n"/>
      <c r="O123" s="38" t="n"/>
      <c r="P123" s="38" t="n"/>
      <c r="Q123" s="51">
        <f>IF(COUNT(D123:O123)=0,"",SUM(D123:O123))</f>
        <v/>
      </c>
      <c r="R123" s="38" t="n"/>
    </row>
    <row r="124">
      <c r="A124" s="1" t="n"/>
      <c r="B124" s="9" t="n"/>
      <c r="C124" s="8" t="n"/>
      <c r="D124" s="38" t="n"/>
      <c r="E124" s="38" t="n"/>
      <c r="F124" s="38" t="n"/>
      <c r="G124" s="38" t="n"/>
      <c r="H124" s="38" t="n"/>
      <c r="I124" s="38" t="n"/>
      <c r="J124" s="38" t="n"/>
      <c r="K124" s="38" t="n"/>
      <c r="L124" s="38" t="n"/>
      <c r="M124" s="38" t="n"/>
      <c r="N124" s="38" t="n"/>
      <c r="O124" s="38" t="n"/>
      <c r="P124" s="38" t="n"/>
      <c r="Q124" s="51">
        <f>IF(COUNT(D124:O124)=0,"",SUM(D124:O124))</f>
        <v/>
      </c>
      <c r="R124" s="38" t="n"/>
    </row>
    <row r="125">
      <c r="A125" s="1" t="n"/>
      <c r="B125" s="9" t="n"/>
      <c r="C125" s="8" t="n"/>
      <c r="D125" s="38" t="n"/>
      <c r="E125" s="38" t="n"/>
      <c r="F125" s="38" t="n"/>
      <c r="G125" s="38" t="n"/>
      <c r="H125" s="38" t="n"/>
      <c r="I125" s="38" t="n"/>
      <c r="J125" s="38" t="n"/>
      <c r="K125" s="38" t="n"/>
      <c r="L125" s="38" t="n"/>
      <c r="M125" s="38" t="n"/>
      <c r="N125" s="38" t="n"/>
      <c r="O125" s="38" t="n"/>
      <c r="P125" s="38" t="n"/>
      <c r="Q125" s="51">
        <f>IF(COUNT(D125:O125)=0,"",SUM(D125:O125))</f>
        <v/>
      </c>
      <c r="R125" s="38" t="n"/>
    </row>
    <row r="126">
      <c r="A126" s="1" t="n"/>
      <c r="B126" s="9" t="n"/>
      <c r="C126" s="8" t="n"/>
      <c r="D126" s="38" t="n"/>
      <c r="E126" s="38" t="n"/>
      <c r="F126" s="38" t="n"/>
      <c r="G126" s="38" t="n"/>
      <c r="H126" s="38" t="n"/>
      <c r="I126" s="38" t="n"/>
      <c r="J126" s="38" t="n"/>
      <c r="K126" s="38" t="n"/>
      <c r="L126" s="38" t="n"/>
      <c r="M126" s="38" t="n"/>
      <c r="N126" s="38" t="n"/>
      <c r="O126" s="38" t="n"/>
      <c r="P126" s="38" t="n"/>
      <c r="Q126" s="51">
        <f>IF(COUNT(D126:O126)=0,"",SUM(D126:O126))</f>
        <v/>
      </c>
      <c r="R126" s="38" t="n"/>
    </row>
    <row r="127">
      <c r="A127" s="1" t="n"/>
      <c r="B127" s="9" t="n"/>
      <c r="C127" s="8" t="n"/>
      <c r="D127" s="38" t="n"/>
      <c r="E127" s="38" t="n"/>
      <c r="F127" s="38" t="n"/>
      <c r="G127" s="38" t="n"/>
      <c r="H127" s="38" t="n"/>
      <c r="I127" s="38" t="n"/>
      <c r="J127" s="38" t="n"/>
      <c r="K127" s="38" t="n"/>
      <c r="L127" s="38" t="n"/>
      <c r="M127" s="38" t="n"/>
      <c r="N127" s="38" t="n"/>
      <c r="O127" s="38" t="n"/>
      <c r="P127" s="38" t="n"/>
      <c r="Q127" s="51">
        <f>IF(COUNT(D127:O127)=0,"",SUM(D127:O127))</f>
        <v/>
      </c>
      <c r="R127" s="38" t="n"/>
    </row>
    <row r="128">
      <c r="A128" s="1" t="n"/>
      <c r="B128" s="9" t="n"/>
      <c r="C128" s="8" t="n"/>
      <c r="D128" s="38" t="n"/>
      <c r="E128" s="38" t="n"/>
      <c r="F128" s="38" t="n"/>
      <c r="G128" s="38" t="n"/>
      <c r="H128" s="38" t="n"/>
      <c r="I128" s="38" t="n"/>
      <c r="J128" s="38" t="n"/>
      <c r="K128" s="38" t="n"/>
      <c r="L128" s="38" t="n"/>
      <c r="M128" s="38" t="n"/>
      <c r="N128" s="38" t="n"/>
      <c r="O128" s="38" t="n"/>
      <c r="P128" s="38" t="n"/>
      <c r="Q128" s="51">
        <f>IF(COUNT(D128:O128)=0,"",SUM(D128:O128))</f>
        <v/>
      </c>
      <c r="R128" s="38" t="n"/>
    </row>
    <row r="129">
      <c r="A129" s="1" t="n"/>
      <c r="B129" s="9" t="n"/>
      <c r="C129" s="8" t="n"/>
      <c r="D129" s="38" t="n"/>
      <c r="E129" s="38" t="n"/>
      <c r="F129" s="38" t="n"/>
      <c r="G129" s="38" t="n"/>
      <c r="H129" s="38" t="n"/>
      <c r="I129" s="38" t="n"/>
      <c r="J129" s="38" t="n"/>
      <c r="K129" s="38" t="n"/>
      <c r="L129" s="38" t="n"/>
      <c r="M129" s="38" t="n"/>
      <c r="N129" s="38" t="n"/>
      <c r="O129" s="38" t="n"/>
      <c r="P129" s="38" t="n"/>
      <c r="Q129" s="51">
        <f>IF(COUNT(D129:O129)=0,"",SUM(D129:O129))</f>
        <v/>
      </c>
      <c r="R129" s="38" t="n"/>
    </row>
    <row r="130">
      <c r="A130" s="1" t="n"/>
      <c r="B130" s="9" t="n"/>
      <c r="C130" s="8" t="n"/>
      <c r="D130" s="38" t="n"/>
      <c r="E130" s="38" t="n"/>
      <c r="F130" s="38" t="n"/>
      <c r="G130" s="38" t="n"/>
      <c r="H130" s="38" t="n"/>
      <c r="I130" s="38" t="n"/>
      <c r="J130" s="38" t="n"/>
      <c r="K130" s="38" t="n"/>
      <c r="L130" s="38" t="n"/>
      <c r="M130" s="38" t="n"/>
      <c r="N130" s="38" t="n"/>
      <c r="O130" s="38" t="n"/>
      <c r="P130" s="38" t="n"/>
      <c r="Q130" s="51">
        <f>IF(COUNT(D130:O130)=0,"",SUM(D130:O130))</f>
        <v/>
      </c>
      <c r="R130" s="38" t="n"/>
    </row>
    <row r="131">
      <c r="A131" s="1" t="n"/>
      <c r="B131" s="9" t="n"/>
      <c r="C131" s="8" t="n"/>
      <c r="D131" s="38" t="n"/>
      <c r="E131" s="38" t="n"/>
      <c r="F131" s="38" t="n"/>
      <c r="G131" s="38" t="n"/>
      <c r="H131" s="38" t="n"/>
      <c r="I131" s="38" t="n"/>
      <c r="J131" s="38" t="n"/>
      <c r="K131" s="38" t="n"/>
      <c r="L131" s="38" t="n"/>
      <c r="M131" s="38" t="n"/>
      <c r="N131" s="38" t="n"/>
      <c r="O131" s="38" t="n"/>
      <c r="P131" s="38" t="n"/>
      <c r="Q131" s="51">
        <f>IF(COUNT(D131:O131)=0,"",SUM(D131:O131))</f>
        <v/>
      </c>
      <c r="R131" s="38" t="n"/>
    </row>
    <row r="132">
      <c r="A132" s="1" t="n"/>
      <c r="B132" s="9" t="n"/>
      <c r="C132" s="8" t="n"/>
      <c r="D132" s="38" t="n"/>
      <c r="E132" s="38" t="n"/>
      <c r="F132" s="38" t="n"/>
      <c r="G132" s="38" t="n"/>
      <c r="H132" s="38" t="n"/>
      <c r="I132" s="38" t="n"/>
      <c r="J132" s="38" t="n"/>
      <c r="K132" s="38" t="n"/>
      <c r="L132" s="38" t="n"/>
      <c r="M132" s="38" t="n"/>
      <c r="N132" s="38" t="n"/>
      <c r="O132" s="38" t="n"/>
      <c r="P132" s="38" t="n"/>
      <c r="Q132" s="51">
        <f>IF(COUNT(D132:O132)=0,"",SUM(D132:O132))</f>
        <v/>
      </c>
      <c r="R132" s="38" t="n"/>
    </row>
    <row r="133">
      <c r="A133" s="1" t="n"/>
      <c r="B133" s="9" t="n"/>
      <c r="C133" s="8" t="n"/>
      <c r="D133" s="38" t="n"/>
      <c r="E133" s="38" t="n"/>
      <c r="F133" s="38" t="n"/>
      <c r="G133" s="38" t="n"/>
      <c r="H133" s="38" t="n"/>
      <c r="I133" s="38" t="n"/>
      <c r="J133" s="38" t="n"/>
      <c r="K133" s="38" t="n"/>
      <c r="L133" s="38" t="n"/>
      <c r="M133" s="38" t="n"/>
      <c r="N133" s="38" t="n"/>
      <c r="O133" s="38" t="n"/>
      <c r="P133" s="38" t="n"/>
      <c r="Q133" s="51">
        <f>IF(COUNT(D133:O133)=0,"",SUM(D133:O133))</f>
        <v/>
      </c>
      <c r="R133" s="38" t="n"/>
    </row>
    <row r="134">
      <c r="A134" s="1" t="n"/>
      <c r="B134" s="9" t="n"/>
      <c r="C134" s="8" t="n"/>
      <c r="D134" s="38" t="n"/>
      <c r="E134" s="38" t="n"/>
      <c r="F134" s="38" t="n"/>
      <c r="G134" s="38" t="n"/>
      <c r="H134" s="38" t="n"/>
      <c r="I134" s="38" t="n"/>
      <c r="J134" s="38" t="n"/>
      <c r="K134" s="38" t="n"/>
      <c r="L134" s="38" t="n"/>
      <c r="M134" s="38" t="n"/>
      <c r="N134" s="38" t="n"/>
      <c r="O134" s="38" t="n"/>
      <c r="P134" s="38" t="n"/>
      <c r="Q134" s="51">
        <f>IF(COUNT(D134:O134)=0,"",SUM(D134:O134))</f>
        <v/>
      </c>
      <c r="R134" s="38" t="n"/>
    </row>
    <row r="135">
      <c r="A135" s="1" t="n"/>
      <c r="B135" s="9" t="n"/>
      <c r="C135" s="8" t="n"/>
      <c r="D135" s="38" t="n"/>
      <c r="E135" s="38" t="n"/>
      <c r="F135" s="38" t="n"/>
      <c r="G135" s="38" t="n"/>
      <c r="H135" s="38" t="n"/>
      <c r="I135" s="38" t="n"/>
      <c r="J135" s="38" t="n"/>
      <c r="K135" s="38" t="n"/>
      <c r="L135" s="38" t="n"/>
      <c r="M135" s="38" t="n"/>
      <c r="N135" s="38" t="n"/>
      <c r="O135" s="38" t="n"/>
      <c r="P135" s="38" t="n"/>
      <c r="Q135" s="51">
        <f>IF(COUNT(D135:O135)=0,"",SUM(D135:O135))</f>
        <v/>
      </c>
      <c r="R135" s="38" t="n"/>
    </row>
    <row r="136">
      <c r="A136" s="1" t="n"/>
      <c r="B136" s="9" t="n"/>
      <c r="C136" s="8" t="n"/>
      <c r="D136" s="38" t="n"/>
      <c r="E136" s="38" t="n"/>
      <c r="F136" s="38" t="n"/>
      <c r="G136" s="38" t="n"/>
      <c r="H136" s="38" t="n"/>
      <c r="I136" s="38" t="n"/>
      <c r="J136" s="38" t="n"/>
      <c r="K136" s="38" t="n"/>
      <c r="L136" s="38" t="n"/>
      <c r="M136" s="38" t="n"/>
      <c r="N136" s="38" t="n"/>
      <c r="O136" s="38" t="n"/>
      <c r="P136" s="38" t="n"/>
      <c r="Q136" s="51">
        <f>IF(COUNT(D136:O136)=0,"",SUM(D136:O136))</f>
        <v/>
      </c>
      <c r="R136" s="38" t="n"/>
    </row>
    <row r="137">
      <c r="A137" s="1" t="n"/>
      <c r="B137" s="9" t="n"/>
      <c r="C137" s="8" t="n"/>
      <c r="D137" s="38" t="n"/>
      <c r="E137" s="38" t="n"/>
      <c r="F137" s="38" t="n"/>
      <c r="G137" s="38" t="n"/>
      <c r="H137" s="38" t="n"/>
      <c r="I137" s="38" t="n"/>
      <c r="J137" s="38" t="n"/>
      <c r="K137" s="38" t="n"/>
      <c r="L137" s="38" t="n"/>
      <c r="M137" s="38" t="n"/>
      <c r="N137" s="38" t="n"/>
      <c r="O137" s="38" t="n"/>
      <c r="P137" s="38" t="n"/>
      <c r="Q137" s="51">
        <f>IF(COUNT(D137:O137)=0,"",SUM(D137:O137))</f>
        <v/>
      </c>
      <c r="R137" s="38" t="n"/>
    </row>
    <row r="138">
      <c r="A138" s="1" t="n"/>
      <c r="B138" s="9" t="n"/>
      <c r="C138" s="8" t="n"/>
      <c r="D138" s="38" t="n"/>
      <c r="E138" s="38" t="n"/>
      <c r="F138" s="38" t="n"/>
      <c r="G138" s="38" t="n"/>
      <c r="H138" s="38" t="n"/>
      <c r="I138" s="38" t="n"/>
      <c r="J138" s="38" t="n"/>
      <c r="K138" s="38" t="n"/>
      <c r="L138" s="38" t="n"/>
      <c r="M138" s="38" t="n"/>
      <c r="N138" s="38" t="n"/>
      <c r="O138" s="38" t="n"/>
      <c r="P138" s="38" t="n"/>
      <c r="Q138" s="51">
        <f>IF(COUNT(D138:O138)=0,"",SUM(D138:O138))</f>
        <v/>
      </c>
      <c r="R138" s="38" t="n"/>
    </row>
    <row r="139">
      <c r="A139" s="1" t="n"/>
      <c r="B139" s="9" t="n"/>
      <c r="C139" s="8" t="n"/>
      <c r="D139" s="38" t="n"/>
      <c r="E139" s="38" t="n"/>
      <c r="F139" s="38" t="n"/>
      <c r="G139" s="38" t="n"/>
      <c r="H139" s="38" t="n"/>
      <c r="I139" s="38" t="n"/>
      <c r="J139" s="38" t="n"/>
      <c r="K139" s="38" t="n"/>
      <c r="L139" s="38" t="n"/>
      <c r="M139" s="38" t="n"/>
      <c r="N139" s="38" t="n"/>
      <c r="O139" s="38" t="n"/>
      <c r="P139" s="38" t="n"/>
      <c r="Q139" s="51">
        <f>IF(COUNT(D139:O139)=0,"",SUM(D139:O139))</f>
        <v/>
      </c>
      <c r="R139" s="38" t="n"/>
    </row>
    <row r="140">
      <c r="A140" s="1" t="n"/>
      <c r="B140" s="9" t="n"/>
      <c r="C140" s="8" t="n"/>
      <c r="D140" s="38" t="n"/>
      <c r="E140" s="38" t="n"/>
      <c r="F140" s="38" t="n"/>
      <c r="G140" s="38" t="n"/>
      <c r="H140" s="38" t="n"/>
      <c r="I140" s="38" t="n"/>
      <c r="J140" s="38" t="n"/>
      <c r="K140" s="38" t="n"/>
      <c r="L140" s="38" t="n"/>
      <c r="M140" s="38" t="n"/>
      <c r="N140" s="38" t="n"/>
      <c r="O140" s="38" t="n"/>
      <c r="P140" s="38" t="n"/>
      <c r="Q140" s="51">
        <f>IF(COUNT(D140:O140)=0,"",SUM(D140:O140))</f>
        <v/>
      </c>
      <c r="R140" s="38" t="n"/>
    </row>
    <row r="141">
      <c r="A141" s="1" t="n"/>
      <c r="B141" s="9" t="n"/>
      <c r="C141" s="8" t="n"/>
      <c r="D141" s="38" t="n"/>
      <c r="E141" s="38" t="n"/>
      <c r="F141" s="38" t="n"/>
      <c r="G141" s="38" t="n"/>
      <c r="H141" s="38" t="n"/>
      <c r="I141" s="38" t="n"/>
      <c r="J141" s="38" t="n"/>
      <c r="K141" s="38" t="n"/>
      <c r="L141" s="38" t="n"/>
      <c r="M141" s="38" t="n"/>
      <c r="N141" s="38" t="n"/>
      <c r="O141" s="38" t="n"/>
      <c r="P141" s="38" t="n"/>
      <c r="Q141" s="51">
        <f>IF(COUNT(D141:O141)=0,"",SUM(D141:O141))</f>
        <v/>
      </c>
      <c r="R141" s="38" t="n"/>
    </row>
    <row r="142">
      <c r="A142" s="1" t="n"/>
      <c r="B142" s="9" t="n"/>
      <c r="C142" s="8" t="n"/>
      <c r="D142" s="38" t="n"/>
      <c r="E142" s="38" t="n"/>
      <c r="F142" s="38" t="n"/>
      <c r="G142" s="38" t="n"/>
      <c r="H142" s="38" t="n"/>
      <c r="I142" s="38" t="n"/>
      <c r="J142" s="38" t="n"/>
      <c r="K142" s="38" t="n"/>
      <c r="L142" s="38" t="n"/>
      <c r="M142" s="38" t="n"/>
      <c r="N142" s="38" t="n"/>
      <c r="O142" s="38" t="n"/>
      <c r="P142" s="38" t="n"/>
      <c r="Q142" s="51">
        <f>IF(COUNT(D142:O142)=0,"",SUM(D142:O142))</f>
        <v/>
      </c>
      <c r="R142" s="38" t="n"/>
    </row>
    <row r="143">
      <c r="A143" s="1" t="n"/>
      <c r="B143" s="9" t="n"/>
      <c r="C143" s="8" t="n"/>
      <c r="D143" s="38" t="n"/>
      <c r="E143" s="38" t="n"/>
      <c r="F143" s="38" t="n"/>
      <c r="G143" s="38" t="n"/>
      <c r="H143" s="38" t="n"/>
      <c r="I143" s="38" t="n"/>
      <c r="J143" s="38" t="n"/>
      <c r="K143" s="38" t="n"/>
      <c r="L143" s="38" t="n"/>
      <c r="M143" s="38" t="n"/>
      <c r="N143" s="38" t="n"/>
      <c r="O143" s="38" t="n"/>
      <c r="P143" s="38" t="n"/>
      <c r="Q143" s="51">
        <f>IF(COUNT(D143:O143)=0,"",SUM(D143:O143))</f>
        <v/>
      </c>
      <c r="R143" s="38" t="n"/>
    </row>
    <row r="144">
      <c r="A144" s="1" t="n"/>
      <c r="B144" s="9" t="n"/>
      <c r="C144" s="8" t="n"/>
      <c r="D144" s="38" t="n"/>
      <c r="E144" s="38" t="n"/>
      <c r="F144" s="38" t="n"/>
      <c r="G144" s="38" t="n"/>
      <c r="H144" s="38" t="n"/>
      <c r="I144" s="38" t="n"/>
      <c r="J144" s="38" t="n"/>
      <c r="K144" s="38" t="n"/>
      <c r="L144" s="38" t="n"/>
      <c r="M144" s="38" t="n"/>
      <c r="N144" s="38" t="n"/>
      <c r="O144" s="38" t="n"/>
      <c r="P144" s="38" t="n"/>
      <c r="Q144" s="51">
        <f>IF(COUNT(D144:O144)=0,"",SUM(D144:O144))</f>
        <v/>
      </c>
      <c r="R144" s="38" t="n"/>
    </row>
    <row r="145">
      <c r="A145" s="1" t="n"/>
      <c r="B145" s="9" t="n"/>
      <c r="C145" s="8" t="n"/>
      <c r="D145" s="38" t="n"/>
      <c r="E145" s="38" t="n"/>
      <c r="F145" s="38" t="n"/>
      <c r="G145" s="38" t="n"/>
      <c r="H145" s="38" t="n"/>
      <c r="I145" s="38" t="n"/>
      <c r="J145" s="38" t="n"/>
      <c r="K145" s="38" t="n"/>
      <c r="L145" s="38" t="n"/>
      <c r="M145" s="38" t="n"/>
      <c r="N145" s="38" t="n"/>
      <c r="O145" s="38" t="n"/>
      <c r="P145" s="38" t="n"/>
      <c r="Q145" s="51">
        <f>IF(COUNT(D145:O145)=0,"",SUM(D145:O145))</f>
        <v/>
      </c>
      <c r="R145" s="38" t="n"/>
    </row>
    <row r="146">
      <c r="A146" s="1" t="n"/>
      <c r="B146" s="9" t="n"/>
      <c r="C146" s="8" t="n"/>
      <c r="D146" s="38" t="n"/>
      <c r="E146" s="38" t="n"/>
      <c r="F146" s="38" t="n"/>
      <c r="G146" s="38" t="n"/>
      <c r="H146" s="38" t="n"/>
      <c r="I146" s="38" t="n"/>
      <c r="J146" s="38" t="n"/>
      <c r="K146" s="38" t="n"/>
      <c r="L146" s="38" t="n"/>
      <c r="M146" s="38" t="n"/>
      <c r="N146" s="38" t="n"/>
      <c r="O146" s="38" t="n"/>
      <c r="P146" s="38" t="n"/>
      <c r="Q146" s="51">
        <f>IF(COUNT(D146:O146)=0,"",SUM(D146:O146))</f>
        <v/>
      </c>
      <c r="R146" s="38" t="n"/>
    </row>
    <row r="147">
      <c r="A147" s="1" t="n"/>
      <c r="B147" s="9" t="n"/>
      <c r="C147" s="8" t="n"/>
      <c r="D147" s="38" t="n"/>
      <c r="E147" s="38" t="n"/>
      <c r="F147" s="38" t="n"/>
      <c r="G147" s="38" t="n"/>
      <c r="H147" s="38" t="n"/>
      <c r="I147" s="38" t="n"/>
      <c r="J147" s="38" t="n"/>
      <c r="K147" s="38" t="n"/>
      <c r="L147" s="38" t="n"/>
      <c r="M147" s="38" t="n"/>
      <c r="N147" s="38" t="n"/>
      <c r="O147" s="38" t="n"/>
      <c r="P147" s="38" t="n"/>
      <c r="Q147" s="51">
        <f>IF(COUNT(D147:O147)=0,"",SUM(D147:O147))</f>
        <v/>
      </c>
      <c r="R147" s="38" t="n"/>
    </row>
    <row r="148">
      <c r="A148" s="1" t="n"/>
      <c r="B148" s="9" t="n"/>
      <c r="C148" s="8" t="n"/>
      <c r="D148" s="38" t="n"/>
      <c r="E148" s="38" t="n"/>
      <c r="F148" s="38" t="n"/>
      <c r="G148" s="38" t="n"/>
      <c r="H148" s="38" t="n"/>
      <c r="I148" s="38" t="n"/>
      <c r="J148" s="38" t="n"/>
      <c r="K148" s="38" t="n"/>
      <c r="L148" s="38" t="n"/>
      <c r="M148" s="38" t="n"/>
      <c r="N148" s="38" t="n"/>
      <c r="O148" s="38" t="n"/>
      <c r="P148" s="38" t="n"/>
      <c r="Q148" s="51">
        <f>IF(COUNT(D148:O148)=0,"",SUM(D148:O148))</f>
        <v/>
      </c>
      <c r="R148" s="38" t="n"/>
    </row>
    <row r="149">
      <c r="A149" s="1" t="n"/>
      <c r="B149" s="9" t="n"/>
      <c r="C149" s="8" t="n"/>
      <c r="D149" s="38" t="n"/>
      <c r="E149" s="38" t="n"/>
      <c r="F149" s="38" t="n"/>
      <c r="G149" s="38" t="n"/>
      <c r="H149" s="38" t="n"/>
      <c r="I149" s="38" t="n"/>
      <c r="J149" s="38" t="n"/>
      <c r="K149" s="38" t="n"/>
      <c r="L149" s="38" t="n"/>
      <c r="M149" s="38" t="n"/>
      <c r="N149" s="38" t="n"/>
      <c r="O149" s="38" t="n"/>
      <c r="P149" s="38" t="n"/>
      <c r="Q149" s="51">
        <f>IF(COUNT(D149:O149)=0,"",SUM(D149:O149))</f>
        <v/>
      </c>
      <c r="R149" s="38" t="n"/>
    </row>
    <row r="150">
      <c r="A150" s="1" t="n"/>
      <c r="B150" s="9" t="n"/>
      <c r="C150" s="8" t="n"/>
      <c r="D150" s="38" t="n"/>
      <c r="E150" s="38" t="n"/>
      <c r="F150" s="38" t="n"/>
      <c r="G150" s="38" t="n"/>
      <c r="H150" s="38" t="n"/>
      <c r="I150" s="38" t="n"/>
      <c r="J150" s="38" t="n"/>
      <c r="K150" s="38" t="n"/>
      <c r="L150" s="38" t="n"/>
      <c r="M150" s="38" t="n"/>
      <c r="N150" s="38" t="n"/>
      <c r="O150" s="38" t="n"/>
      <c r="P150" s="38" t="n"/>
      <c r="Q150" s="51">
        <f>IF(COUNT(D150:O150)=0,"",SUM(D150:O150))</f>
        <v/>
      </c>
      <c r="R150" s="38" t="n"/>
    </row>
    <row r="151">
      <c r="A151" s="1" t="n"/>
      <c r="B151" s="9" t="n"/>
      <c r="C151" s="8" t="n"/>
      <c r="D151" s="38" t="n"/>
      <c r="E151" s="38" t="n"/>
      <c r="F151" s="38" t="n"/>
      <c r="G151" s="38" t="n"/>
      <c r="H151" s="38" t="n"/>
      <c r="I151" s="38" t="n"/>
      <c r="J151" s="38" t="n"/>
      <c r="K151" s="38" t="n"/>
      <c r="L151" s="38" t="n"/>
      <c r="M151" s="38" t="n"/>
      <c r="N151" s="38" t="n"/>
      <c r="O151" s="38" t="n"/>
      <c r="P151" s="38" t="n"/>
      <c r="Q151" s="51">
        <f>IF(COUNT(D151:O151)=0,"",SUM(D151:O151))</f>
        <v/>
      </c>
      <c r="R151" s="38" t="n"/>
    </row>
    <row r="152">
      <c r="A152" s="1" t="n"/>
      <c r="B152" s="9" t="n"/>
      <c r="C152" s="8" t="n"/>
      <c r="D152" s="38" t="n"/>
      <c r="E152" s="38" t="n"/>
      <c r="F152" s="38" t="n"/>
      <c r="G152" s="38" t="n"/>
      <c r="H152" s="38" t="n"/>
      <c r="I152" s="38" t="n"/>
      <c r="J152" s="38" t="n"/>
      <c r="K152" s="38" t="n"/>
      <c r="L152" s="38" t="n"/>
      <c r="M152" s="38" t="n"/>
      <c r="N152" s="38" t="n"/>
      <c r="O152" s="38" t="n"/>
      <c r="P152" s="38" t="n"/>
      <c r="Q152" s="51">
        <f>IF(COUNT(D152:O152)=0,"",SUM(D152:O152))</f>
        <v/>
      </c>
      <c r="R152" s="38" t="n"/>
    </row>
    <row r="153">
      <c r="A153" s="1" t="n"/>
      <c r="B153" s="9" t="n"/>
      <c r="C153" s="8" t="n"/>
      <c r="D153" s="38" t="n"/>
      <c r="E153" s="38" t="n"/>
      <c r="F153" s="38" t="n"/>
      <c r="G153" s="38" t="n"/>
      <c r="H153" s="38" t="n"/>
      <c r="I153" s="38" t="n"/>
      <c r="J153" s="38" t="n"/>
      <c r="K153" s="38" t="n"/>
      <c r="L153" s="38" t="n"/>
      <c r="M153" s="38" t="n"/>
      <c r="N153" s="38" t="n"/>
      <c r="O153" s="38" t="n"/>
      <c r="P153" s="38" t="n"/>
      <c r="Q153" s="51">
        <f>IF(COUNT(D153:O153)=0,"",SUM(D153:O153))</f>
        <v/>
      </c>
      <c r="R153" s="38" t="n"/>
    </row>
    <row r="154">
      <c r="A154" s="1" t="n"/>
      <c r="B154" s="9" t="n"/>
      <c r="C154" s="8" t="n"/>
      <c r="D154" s="38" t="n"/>
      <c r="E154" s="38" t="n"/>
      <c r="F154" s="38" t="n"/>
      <c r="G154" s="38" t="n"/>
      <c r="H154" s="38" t="n"/>
      <c r="I154" s="38" t="n"/>
      <c r="J154" s="38" t="n"/>
      <c r="K154" s="38" t="n"/>
      <c r="L154" s="38" t="n"/>
      <c r="M154" s="38" t="n"/>
      <c r="N154" s="38" t="n"/>
      <c r="O154" s="38" t="n"/>
      <c r="P154" s="38" t="n"/>
      <c r="Q154" s="51">
        <f>IF(COUNT(D154:O154)=0,"",SUM(D154:O154))</f>
        <v/>
      </c>
      <c r="R154" s="38" t="n"/>
    </row>
    <row r="155">
      <c r="A155" s="1" t="n"/>
      <c r="B155" s="9" t="n"/>
      <c r="C155" s="8" t="n"/>
      <c r="D155" s="38" t="n"/>
      <c r="E155" s="38" t="n"/>
      <c r="F155" s="38" t="n"/>
      <c r="G155" s="38" t="n"/>
      <c r="H155" s="38" t="n"/>
      <c r="I155" s="38" t="n"/>
      <c r="J155" s="38" t="n"/>
      <c r="K155" s="38" t="n"/>
      <c r="L155" s="38" t="n"/>
      <c r="M155" s="38" t="n"/>
      <c r="N155" s="38" t="n"/>
      <c r="O155" s="38" t="n"/>
      <c r="P155" s="38" t="n"/>
      <c r="Q155" s="51">
        <f>IF(COUNT(D155:O155)=0,"",SUM(D155:O155))</f>
        <v/>
      </c>
      <c r="R155" s="38" t="n"/>
    </row>
    <row r="156">
      <c r="A156" s="1" t="n"/>
      <c r="B156" s="9" t="n"/>
      <c r="C156" s="8" t="n"/>
      <c r="D156" s="38" t="n"/>
      <c r="E156" s="38" t="n"/>
      <c r="F156" s="38" t="n"/>
      <c r="G156" s="38" t="n"/>
      <c r="H156" s="38" t="n"/>
      <c r="I156" s="38" t="n"/>
      <c r="J156" s="38" t="n"/>
      <c r="K156" s="38" t="n"/>
      <c r="L156" s="38" t="n"/>
      <c r="M156" s="38" t="n"/>
      <c r="N156" s="38" t="n"/>
      <c r="O156" s="38" t="n"/>
      <c r="P156" s="38" t="n"/>
      <c r="Q156" s="51">
        <f>IF(COUNT(D156:O156)=0,"",SUM(D156:O156))</f>
        <v/>
      </c>
      <c r="R156" s="38" t="n"/>
    </row>
    <row r="157">
      <c r="A157" s="1" t="n"/>
      <c r="B157" s="9" t="n"/>
      <c r="C157" s="8" t="n"/>
      <c r="D157" s="38" t="n"/>
      <c r="E157" s="38" t="n"/>
      <c r="F157" s="38" t="n"/>
      <c r="G157" s="38" t="n"/>
      <c r="H157" s="38" t="n"/>
      <c r="I157" s="38" t="n"/>
      <c r="J157" s="38" t="n"/>
      <c r="K157" s="38" t="n"/>
      <c r="L157" s="38" t="n"/>
      <c r="M157" s="38" t="n"/>
      <c r="N157" s="38" t="n"/>
      <c r="O157" s="38" t="n"/>
      <c r="P157" s="38" t="n"/>
      <c r="Q157" s="51">
        <f>IF(COUNT(D157:O157)=0,"",SUM(D157:O157))</f>
        <v/>
      </c>
      <c r="R157" s="38" t="n"/>
    </row>
    <row r="158">
      <c r="A158" s="1" t="n"/>
      <c r="B158" s="9" t="n"/>
      <c r="C158" s="8" t="n"/>
      <c r="D158" s="38" t="n"/>
      <c r="E158" s="38" t="n"/>
      <c r="F158" s="38" t="n"/>
      <c r="G158" s="38" t="n"/>
      <c r="H158" s="38" t="n"/>
      <c r="I158" s="38" t="n"/>
      <c r="J158" s="38" t="n"/>
      <c r="K158" s="38" t="n"/>
      <c r="L158" s="38" t="n"/>
      <c r="M158" s="38" t="n"/>
      <c r="N158" s="38" t="n"/>
      <c r="O158" s="38" t="n"/>
      <c r="P158" s="38" t="n"/>
      <c r="Q158" s="51">
        <f>IF(COUNT(D158:O158)=0,"",SUM(D158:O158))</f>
        <v/>
      </c>
      <c r="R158" s="38" t="n"/>
    </row>
    <row r="159">
      <c r="A159" s="1" t="n"/>
      <c r="B159" s="9" t="n"/>
      <c r="C159" s="8" t="n"/>
      <c r="D159" s="38" t="n"/>
      <c r="E159" s="38" t="n"/>
      <c r="F159" s="38" t="n"/>
      <c r="G159" s="38" t="n"/>
      <c r="H159" s="38" t="n"/>
      <c r="I159" s="38" t="n"/>
      <c r="J159" s="38" t="n"/>
      <c r="K159" s="38" t="n"/>
      <c r="L159" s="38" t="n"/>
      <c r="M159" s="38" t="n"/>
      <c r="N159" s="38" t="n"/>
      <c r="O159" s="38" t="n"/>
      <c r="P159" s="38" t="n"/>
      <c r="Q159" s="51">
        <f>IF(COUNT(D159:O159)=0,"",SUM(D159:O159))</f>
        <v/>
      </c>
      <c r="R159" s="38" t="n"/>
    </row>
    <row r="160">
      <c r="A160" s="1" t="n"/>
      <c r="B160" s="9" t="n"/>
      <c r="C160" s="8" t="n"/>
      <c r="D160" s="38" t="n"/>
      <c r="E160" s="38" t="n"/>
      <c r="F160" s="38" t="n"/>
      <c r="G160" s="38" t="n"/>
      <c r="H160" s="38" t="n"/>
      <c r="I160" s="38" t="n"/>
      <c r="J160" s="38" t="n"/>
      <c r="K160" s="38" t="n"/>
      <c r="L160" s="38" t="n"/>
      <c r="M160" s="38" t="n"/>
      <c r="N160" s="38" t="n"/>
      <c r="O160" s="38" t="n"/>
      <c r="P160" s="38" t="n"/>
      <c r="Q160" s="51">
        <f>IF(COUNT(D160:O160)=0,"",SUM(D160:O160))</f>
        <v/>
      </c>
      <c r="R160" s="38" t="n"/>
    </row>
    <row r="161">
      <c r="A161" s="1" t="n"/>
      <c r="B161" s="9" t="n"/>
      <c r="C161" s="8" t="n"/>
      <c r="D161" s="38" t="n"/>
      <c r="E161" s="38" t="n"/>
      <c r="F161" s="38" t="n"/>
      <c r="G161" s="38" t="n"/>
      <c r="H161" s="38" t="n"/>
      <c r="I161" s="38" t="n"/>
      <c r="J161" s="38" t="n"/>
      <c r="K161" s="38" t="n"/>
      <c r="L161" s="38" t="n"/>
      <c r="M161" s="38" t="n"/>
      <c r="N161" s="38" t="n"/>
      <c r="O161" s="38" t="n"/>
      <c r="P161" s="38" t="n"/>
      <c r="Q161" s="51">
        <f>IF(COUNT(D161:O161)=0,"",SUM(D161:O161))</f>
        <v/>
      </c>
      <c r="R161" s="38" t="n"/>
    </row>
    <row r="162">
      <c r="A162" s="1" t="n"/>
      <c r="B162" s="9" t="n"/>
      <c r="C162" s="8" t="n"/>
      <c r="D162" s="38" t="n"/>
      <c r="E162" s="38" t="n"/>
      <c r="F162" s="38" t="n"/>
      <c r="G162" s="38" t="n"/>
      <c r="H162" s="38" t="n"/>
      <c r="I162" s="38" t="n"/>
      <c r="J162" s="38" t="n"/>
      <c r="K162" s="38" t="n"/>
      <c r="L162" s="38" t="n"/>
      <c r="M162" s="38" t="n"/>
      <c r="N162" s="38" t="n"/>
      <c r="O162" s="38" t="n"/>
      <c r="P162" s="38" t="n"/>
      <c r="Q162" s="51">
        <f>IF(COUNT(D162:O162)=0,"",SUM(D162:O162))</f>
        <v/>
      </c>
      <c r="R162" s="38" t="n"/>
    </row>
    <row r="163">
      <c r="A163" s="1" t="n"/>
      <c r="B163" s="9" t="n"/>
      <c r="C163" s="8" t="n"/>
      <c r="D163" s="38" t="n"/>
      <c r="E163" s="38" t="n"/>
      <c r="F163" s="38" t="n"/>
      <c r="G163" s="38" t="n"/>
      <c r="H163" s="38" t="n"/>
      <c r="I163" s="38" t="n"/>
      <c r="J163" s="38" t="n"/>
      <c r="K163" s="38" t="n"/>
      <c r="L163" s="38" t="n"/>
      <c r="M163" s="38" t="n"/>
      <c r="N163" s="38" t="n"/>
      <c r="O163" s="38" t="n"/>
      <c r="P163" s="38" t="n"/>
      <c r="Q163" s="51">
        <f>IF(COUNT(D163:O163)=0,"",SUM(D163:O163))</f>
        <v/>
      </c>
      <c r="R163" s="38" t="n"/>
    </row>
    <row r="164">
      <c r="A164" s="1" t="n"/>
      <c r="B164" s="9" t="n"/>
      <c r="C164" s="8" t="n"/>
      <c r="D164" s="38" t="n"/>
      <c r="E164" s="38" t="n"/>
      <c r="F164" s="38" t="n"/>
      <c r="G164" s="38" t="n"/>
      <c r="H164" s="38" t="n"/>
      <c r="I164" s="38" t="n"/>
      <c r="J164" s="38" t="n"/>
      <c r="K164" s="38" t="n"/>
      <c r="L164" s="38" t="n"/>
      <c r="M164" s="38" t="n"/>
      <c r="N164" s="38" t="n"/>
      <c r="O164" s="38" t="n"/>
      <c r="P164" s="38" t="n"/>
      <c r="Q164" s="51">
        <f>IF(COUNT(D164:O164)=0,"",SUM(D164:O164))</f>
        <v/>
      </c>
      <c r="R164" s="38" t="n"/>
    </row>
    <row r="165">
      <c r="A165" s="1" t="n"/>
      <c r="B165" s="9" t="n"/>
      <c r="C165" s="8" t="n"/>
      <c r="D165" s="38" t="n"/>
      <c r="E165" s="38" t="n"/>
      <c r="F165" s="38" t="n"/>
      <c r="G165" s="38" t="n"/>
      <c r="H165" s="38" t="n"/>
      <c r="I165" s="38" t="n"/>
      <c r="J165" s="38" t="n"/>
      <c r="K165" s="38" t="n"/>
      <c r="L165" s="38" t="n"/>
      <c r="M165" s="38" t="n"/>
      <c r="N165" s="38" t="n"/>
      <c r="O165" s="38" t="n"/>
      <c r="P165" s="38" t="n"/>
      <c r="Q165" s="51">
        <f>IF(COUNT(D165:O165)=0,"",SUM(D165:O165))</f>
        <v/>
      </c>
      <c r="R165" s="38" t="n"/>
    </row>
    <row r="166">
      <c r="A166" s="1" t="n"/>
      <c r="B166" s="9" t="n"/>
      <c r="C166" s="8" t="n"/>
      <c r="D166" s="38" t="n"/>
      <c r="E166" s="38" t="n"/>
      <c r="F166" s="38" t="n"/>
      <c r="G166" s="38" t="n"/>
      <c r="H166" s="38" t="n"/>
      <c r="I166" s="38" t="n"/>
      <c r="J166" s="38" t="n"/>
      <c r="K166" s="38" t="n"/>
      <c r="L166" s="38" t="n"/>
      <c r="M166" s="38" t="n"/>
      <c r="N166" s="38" t="n"/>
      <c r="O166" s="38" t="n"/>
      <c r="P166" s="38" t="n"/>
      <c r="Q166" s="51">
        <f>IF(COUNT(D166:O166)=0,"",SUM(D166:O166))</f>
        <v/>
      </c>
      <c r="R166" s="38" t="n"/>
    </row>
    <row r="167">
      <c r="A167" s="1" t="n"/>
      <c r="B167" s="9" t="n"/>
      <c r="C167" s="8" t="n"/>
      <c r="D167" s="38" t="n"/>
      <c r="E167" s="38" t="n"/>
      <c r="F167" s="38" t="n"/>
      <c r="G167" s="38" t="n"/>
      <c r="H167" s="38" t="n"/>
      <c r="I167" s="38" t="n"/>
      <c r="J167" s="38" t="n"/>
      <c r="K167" s="38" t="n"/>
      <c r="L167" s="38" t="n"/>
      <c r="M167" s="38" t="n"/>
      <c r="N167" s="38" t="n"/>
      <c r="O167" s="38" t="n"/>
      <c r="P167" s="38" t="n"/>
      <c r="Q167" s="51">
        <f>IF(COUNT(D167:O167)=0,"",SUM(D167:O167))</f>
        <v/>
      </c>
      <c r="R167" s="38" t="n"/>
    </row>
    <row r="168">
      <c r="A168" s="1" t="n"/>
      <c r="B168" s="9" t="n"/>
      <c r="C168" s="8" t="n"/>
      <c r="D168" s="38" t="n"/>
      <c r="E168" s="38" t="n"/>
      <c r="F168" s="38" t="n"/>
      <c r="G168" s="38" t="n"/>
      <c r="H168" s="38" t="n"/>
      <c r="I168" s="38" t="n"/>
      <c r="J168" s="38" t="n"/>
      <c r="K168" s="38" t="n"/>
      <c r="L168" s="38" t="n"/>
      <c r="M168" s="38" t="n"/>
      <c r="N168" s="38" t="n"/>
      <c r="O168" s="38" t="n"/>
      <c r="P168" s="38" t="n"/>
      <c r="Q168" s="51">
        <f>IF(COUNT(D168:O168)=0,"",SUM(D168:O168))</f>
        <v/>
      </c>
      <c r="R168" s="38" t="n"/>
    </row>
    <row r="169">
      <c r="A169" s="1" t="n"/>
      <c r="B169" s="9" t="n"/>
      <c r="C169" s="8" t="n"/>
      <c r="D169" s="38" t="n"/>
      <c r="E169" s="38" t="n"/>
      <c r="F169" s="38" t="n"/>
      <c r="G169" s="38" t="n"/>
      <c r="H169" s="38" t="n"/>
      <c r="I169" s="38" t="n"/>
      <c r="J169" s="38" t="n"/>
      <c r="K169" s="38" t="n"/>
      <c r="L169" s="38" t="n"/>
      <c r="M169" s="38" t="n"/>
      <c r="N169" s="38" t="n"/>
      <c r="O169" s="38" t="n"/>
      <c r="P169" s="38" t="n"/>
      <c r="Q169" s="51">
        <f>IF(COUNT(D169:O169)=0,"",SUM(D169:O169))</f>
        <v/>
      </c>
      <c r="R169" s="38" t="n"/>
    </row>
    <row r="170">
      <c r="A170" s="1" t="n"/>
      <c r="B170" s="9" t="n"/>
      <c r="C170" s="8" t="n"/>
      <c r="D170" s="38" t="n"/>
      <c r="E170" s="38" t="n"/>
      <c r="F170" s="38" t="n"/>
      <c r="G170" s="38" t="n"/>
      <c r="H170" s="38" t="n"/>
      <c r="I170" s="38" t="n"/>
      <c r="J170" s="38" t="n"/>
      <c r="K170" s="38" t="n"/>
      <c r="L170" s="38" t="n"/>
      <c r="M170" s="38" t="n"/>
      <c r="N170" s="38" t="n"/>
      <c r="O170" s="38" t="n"/>
      <c r="P170" s="38" t="n"/>
      <c r="Q170" s="51">
        <f>IF(COUNT(D170:O170)=0,"",SUM(D170:O170))</f>
        <v/>
      </c>
      <c r="R170" s="38" t="n"/>
    </row>
    <row r="171">
      <c r="A171" s="1" t="n"/>
      <c r="B171" s="9" t="n"/>
      <c r="C171" s="8" t="n"/>
      <c r="D171" s="38" t="n"/>
      <c r="E171" s="38" t="n"/>
      <c r="F171" s="38" t="n"/>
      <c r="G171" s="38" t="n"/>
      <c r="H171" s="38" t="n"/>
      <c r="I171" s="38" t="n"/>
      <c r="J171" s="38" t="n"/>
      <c r="K171" s="38" t="n"/>
      <c r="L171" s="38" t="n"/>
      <c r="M171" s="38" t="n"/>
      <c r="N171" s="38" t="n"/>
      <c r="O171" s="38" t="n"/>
      <c r="P171" s="38" t="n"/>
      <c r="Q171" s="51">
        <f>IF(COUNT(D171:O171)=0,"",SUM(D171:O171))</f>
        <v/>
      </c>
      <c r="R171" s="38" t="n"/>
    </row>
    <row r="172">
      <c r="A172" s="1" t="n"/>
      <c r="B172" s="9" t="n"/>
      <c r="C172" s="8" t="n"/>
      <c r="D172" s="38" t="n"/>
      <c r="E172" s="38" t="n"/>
      <c r="F172" s="38" t="n"/>
      <c r="G172" s="38" t="n"/>
      <c r="H172" s="38" t="n"/>
      <c r="I172" s="38" t="n"/>
      <c r="J172" s="38" t="n"/>
      <c r="K172" s="38" t="n"/>
      <c r="L172" s="38" t="n"/>
      <c r="M172" s="38" t="n"/>
      <c r="N172" s="38" t="n"/>
      <c r="O172" s="38" t="n"/>
      <c r="P172" s="38" t="n"/>
      <c r="Q172" s="51">
        <f>IF(COUNT(D172:O172)=0,"",SUM(D172:O172))</f>
        <v/>
      </c>
      <c r="R172" s="38" t="n"/>
    </row>
    <row r="173">
      <c r="A173" s="1" t="n"/>
      <c r="B173" s="9" t="n"/>
      <c r="C173" s="8" t="n"/>
      <c r="D173" s="38" t="n"/>
      <c r="E173" s="38" t="n"/>
      <c r="F173" s="38" t="n"/>
      <c r="G173" s="38" t="n"/>
      <c r="H173" s="38" t="n"/>
      <c r="I173" s="38" t="n"/>
      <c r="J173" s="38" t="n"/>
      <c r="K173" s="38" t="n"/>
      <c r="L173" s="38" t="n"/>
      <c r="M173" s="38" t="n"/>
      <c r="N173" s="38" t="n"/>
      <c r="O173" s="38" t="n"/>
      <c r="P173" s="38" t="n"/>
      <c r="Q173" s="51">
        <f>IF(COUNT(D173:O173)=0,"",SUM(D173:O173))</f>
        <v/>
      </c>
      <c r="R173" s="38" t="n"/>
    </row>
    <row r="174">
      <c r="A174" s="1" t="n"/>
      <c r="B174" s="9" t="n"/>
      <c r="C174" s="8" t="n"/>
      <c r="D174" s="38" t="n"/>
      <c r="E174" s="38" t="n"/>
      <c r="F174" s="38" t="n"/>
      <c r="G174" s="38" t="n"/>
      <c r="H174" s="38" t="n"/>
      <c r="I174" s="38" t="n"/>
      <c r="J174" s="38" t="n"/>
      <c r="K174" s="38" t="n"/>
      <c r="L174" s="38" t="n"/>
      <c r="M174" s="38" t="n"/>
      <c r="N174" s="38" t="n"/>
      <c r="O174" s="38" t="n"/>
      <c r="P174" s="38" t="n"/>
      <c r="Q174" s="51">
        <f>IF(COUNT(D174:O174)=0,"",SUM(D174:O174))</f>
        <v/>
      </c>
      <c r="R174" s="38" t="n"/>
    </row>
    <row r="175">
      <c r="A175" s="1" t="n"/>
      <c r="B175" s="9" t="n"/>
      <c r="C175" s="8" t="n"/>
      <c r="D175" s="38" t="n"/>
      <c r="E175" s="38" t="n"/>
      <c r="F175" s="38" t="n"/>
      <c r="G175" s="38" t="n"/>
      <c r="H175" s="38" t="n"/>
      <c r="I175" s="38" t="n"/>
      <c r="J175" s="38" t="n"/>
      <c r="K175" s="38" t="n"/>
      <c r="L175" s="38" t="n"/>
      <c r="M175" s="38" t="n"/>
      <c r="N175" s="38" t="n"/>
      <c r="O175" s="38" t="n"/>
      <c r="P175" s="38" t="n"/>
      <c r="Q175" s="51">
        <f>IF(COUNT(D175:O175)=0,"",SUM(D175:O175))</f>
        <v/>
      </c>
      <c r="R175" s="38" t="n"/>
    </row>
    <row r="176">
      <c r="A176" s="1" t="n"/>
      <c r="B176" s="9" t="n"/>
      <c r="C176" s="8" t="n"/>
      <c r="D176" s="38" t="n"/>
      <c r="E176" s="38" t="n"/>
      <c r="F176" s="38" t="n"/>
      <c r="G176" s="38" t="n"/>
      <c r="H176" s="38" t="n"/>
      <c r="I176" s="38" t="n"/>
      <c r="J176" s="38" t="n"/>
      <c r="K176" s="38" t="n"/>
      <c r="L176" s="38" t="n"/>
      <c r="M176" s="38" t="n"/>
      <c r="N176" s="38" t="n"/>
      <c r="O176" s="38" t="n"/>
      <c r="P176" s="38" t="n"/>
      <c r="Q176" s="51">
        <f>IF(COUNT(D176:O176)=0,"",SUM(D176:O176))</f>
        <v/>
      </c>
      <c r="R176" s="38" t="n"/>
    </row>
    <row r="177">
      <c r="A177" s="1" t="n"/>
      <c r="B177" s="9" t="n"/>
      <c r="C177" s="8" t="n"/>
      <c r="D177" s="38" t="n"/>
      <c r="E177" s="38" t="n"/>
      <c r="F177" s="38" t="n"/>
      <c r="G177" s="38" t="n"/>
      <c r="H177" s="38" t="n"/>
      <c r="I177" s="38" t="n"/>
      <c r="J177" s="38" t="n"/>
      <c r="K177" s="38" t="n"/>
      <c r="L177" s="38" t="n"/>
      <c r="M177" s="38" t="n"/>
      <c r="N177" s="38" t="n"/>
      <c r="O177" s="38" t="n"/>
      <c r="P177" s="38" t="n"/>
      <c r="Q177" s="51">
        <f>IF(COUNT(D177:O177)=0,"",SUM(D177:O177))</f>
        <v/>
      </c>
      <c r="R177" s="38" t="n"/>
    </row>
    <row r="178">
      <c r="A178" s="1" t="n"/>
      <c r="B178" s="9" t="n"/>
      <c r="C178" s="8" t="n"/>
      <c r="D178" s="38" t="n"/>
      <c r="E178" s="38" t="n"/>
      <c r="F178" s="38" t="n"/>
      <c r="G178" s="38" t="n"/>
      <c r="H178" s="38" t="n"/>
      <c r="I178" s="38" t="n"/>
      <c r="J178" s="38" t="n"/>
      <c r="K178" s="38" t="n"/>
      <c r="L178" s="38" t="n"/>
      <c r="M178" s="38" t="n"/>
      <c r="N178" s="38" t="n"/>
      <c r="O178" s="38" t="n"/>
      <c r="P178" s="38" t="n"/>
      <c r="Q178" s="51">
        <f>IF(COUNT(D178:O178)=0,"",SUM(D178:O178))</f>
        <v/>
      </c>
      <c r="R178" s="38" t="n"/>
    </row>
    <row r="179">
      <c r="A179" s="1" t="n"/>
      <c r="B179" s="9" t="n"/>
      <c r="C179" s="8" t="n"/>
      <c r="D179" s="38" t="n"/>
      <c r="E179" s="38" t="n"/>
      <c r="F179" s="38" t="n"/>
      <c r="G179" s="38" t="n"/>
      <c r="H179" s="38" t="n"/>
      <c r="I179" s="38" t="n"/>
      <c r="J179" s="38" t="n"/>
      <c r="K179" s="38" t="n"/>
      <c r="L179" s="38" t="n"/>
      <c r="M179" s="38" t="n"/>
      <c r="N179" s="38" t="n"/>
      <c r="O179" s="38" t="n"/>
      <c r="P179" s="38" t="n"/>
      <c r="Q179" s="51">
        <f>IF(COUNT(D179:O179)=0,"",SUM(D179:O179))</f>
        <v/>
      </c>
      <c r="R179" s="38" t="n"/>
    </row>
    <row r="180">
      <c r="A180" s="1" t="n"/>
      <c r="B180" s="9" t="n"/>
      <c r="C180" s="8" t="n"/>
      <c r="D180" s="38" t="n"/>
      <c r="E180" s="38" t="n"/>
      <c r="F180" s="38" t="n"/>
      <c r="G180" s="38" t="n"/>
      <c r="H180" s="38" t="n"/>
      <c r="I180" s="38" t="n"/>
      <c r="J180" s="38" t="n"/>
      <c r="K180" s="38" t="n"/>
      <c r="L180" s="38" t="n"/>
      <c r="M180" s="38" t="n"/>
      <c r="N180" s="38" t="n"/>
      <c r="O180" s="38" t="n"/>
      <c r="P180" s="38" t="n"/>
      <c r="Q180" s="51">
        <f>IF(COUNT(D180:O180)=0,"",SUM(D180:O180))</f>
        <v/>
      </c>
      <c r="R180" s="38" t="n"/>
    </row>
    <row r="181">
      <c r="A181" s="1" t="n"/>
      <c r="B181" s="9" t="n"/>
      <c r="C181" s="8" t="n"/>
      <c r="D181" s="38" t="n"/>
      <c r="E181" s="38" t="n"/>
      <c r="F181" s="38" t="n"/>
      <c r="G181" s="38" t="n"/>
      <c r="H181" s="38" t="n"/>
      <c r="I181" s="38" t="n"/>
      <c r="J181" s="38" t="n"/>
      <c r="K181" s="38" t="n"/>
      <c r="L181" s="38" t="n"/>
      <c r="M181" s="38" t="n"/>
      <c r="N181" s="38" t="n"/>
      <c r="O181" s="38" t="n"/>
      <c r="P181" s="38" t="n"/>
      <c r="Q181" s="51">
        <f>IF(COUNT(D181:O181)=0,"",SUM(D181:O181))</f>
        <v/>
      </c>
      <c r="R181" s="38" t="n"/>
    </row>
    <row r="182">
      <c r="A182" s="1" t="n"/>
      <c r="B182" s="9" t="n"/>
      <c r="C182" s="8" t="n"/>
      <c r="D182" s="38" t="n"/>
      <c r="E182" s="38" t="n"/>
      <c r="F182" s="38" t="n"/>
      <c r="G182" s="38" t="n"/>
      <c r="H182" s="38" t="n"/>
      <c r="I182" s="38" t="n"/>
      <c r="J182" s="38" t="n"/>
      <c r="K182" s="38" t="n"/>
      <c r="L182" s="38" t="n"/>
      <c r="M182" s="38" t="n"/>
      <c r="N182" s="38" t="n"/>
      <c r="O182" s="38" t="n"/>
      <c r="P182" s="38" t="n"/>
      <c r="Q182" s="51">
        <f>IF(COUNT(D182:O182)=0,"",SUM(D182:O182))</f>
        <v/>
      </c>
      <c r="R182" s="38" t="n"/>
    </row>
    <row r="183">
      <c r="A183" s="1" t="n"/>
      <c r="B183" s="9" t="n"/>
      <c r="C183" s="8" t="n"/>
      <c r="D183" s="38" t="n"/>
      <c r="E183" s="38" t="n"/>
      <c r="F183" s="38" t="n"/>
      <c r="G183" s="38" t="n"/>
      <c r="H183" s="38" t="n"/>
      <c r="I183" s="38" t="n"/>
      <c r="J183" s="38" t="n"/>
      <c r="K183" s="38" t="n"/>
      <c r="L183" s="38" t="n"/>
      <c r="M183" s="38" t="n"/>
      <c r="N183" s="38" t="n"/>
      <c r="O183" s="38" t="n"/>
      <c r="P183" s="38" t="n"/>
      <c r="Q183" s="51">
        <f>IF(COUNT(D183:O183)=0,"",SUM(D183:O183))</f>
        <v/>
      </c>
      <c r="R183" s="38" t="n"/>
    </row>
    <row r="184">
      <c r="A184" s="1" t="n"/>
      <c r="B184" s="9" t="n"/>
      <c r="C184" s="8" t="n"/>
      <c r="D184" s="38" t="n"/>
      <c r="E184" s="38" t="n"/>
      <c r="F184" s="38" t="n"/>
      <c r="G184" s="38" t="n"/>
      <c r="H184" s="38" t="n"/>
      <c r="I184" s="38" t="n"/>
      <c r="J184" s="38" t="n"/>
      <c r="K184" s="38" t="n"/>
      <c r="L184" s="38" t="n"/>
      <c r="M184" s="38" t="n"/>
      <c r="N184" s="38" t="n"/>
      <c r="O184" s="38" t="n"/>
      <c r="P184" s="38" t="n"/>
      <c r="Q184" s="51">
        <f>IF(COUNT(D184:O184)=0,"",SUM(D184:O184))</f>
        <v/>
      </c>
      <c r="R184" s="38" t="n"/>
    </row>
    <row r="185">
      <c r="A185" s="1" t="n"/>
      <c r="B185" s="9" t="n"/>
      <c r="C185" s="8" t="n"/>
      <c r="D185" s="38" t="n"/>
      <c r="E185" s="38" t="n"/>
      <c r="F185" s="38" t="n"/>
      <c r="G185" s="38" t="n"/>
      <c r="H185" s="38" t="n"/>
      <c r="I185" s="38" t="n"/>
      <c r="J185" s="38" t="n"/>
      <c r="K185" s="38" t="n"/>
      <c r="L185" s="38" t="n"/>
      <c r="M185" s="38" t="n"/>
      <c r="N185" s="38" t="n"/>
      <c r="O185" s="38" t="n"/>
      <c r="P185" s="38" t="n"/>
      <c r="Q185" s="51">
        <f>IF(COUNT(D185:O185)=0,"",SUM(D185:O185))</f>
        <v/>
      </c>
      <c r="R185" s="38" t="n"/>
    </row>
    <row r="186">
      <c r="A186" s="1" t="n"/>
      <c r="B186" s="9" t="n"/>
      <c r="C186" s="8" t="n"/>
      <c r="D186" s="38" t="n"/>
      <c r="E186" s="38" t="n"/>
      <c r="F186" s="38" t="n"/>
      <c r="G186" s="38" t="n"/>
      <c r="H186" s="38" t="n"/>
      <c r="I186" s="38" t="n"/>
      <c r="J186" s="38" t="n"/>
      <c r="K186" s="38" t="n"/>
      <c r="L186" s="38" t="n"/>
      <c r="M186" s="38" t="n"/>
      <c r="N186" s="38" t="n"/>
      <c r="O186" s="38" t="n"/>
      <c r="P186" s="38" t="n"/>
      <c r="Q186" s="51">
        <f>IF(COUNT(D186:O186)=0,"",SUM(D186:O186))</f>
        <v/>
      </c>
      <c r="R186" s="38" t="n"/>
    </row>
    <row r="187">
      <c r="A187" s="1" t="n"/>
      <c r="B187" s="9" t="n"/>
      <c r="C187" s="8" t="n"/>
      <c r="D187" s="38" t="n"/>
      <c r="E187" s="38" t="n"/>
      <c r="F187" s="38" t="n"/>
      <c r="G187" s="38" t="n"/>
      <c r="H187" s="38" t="n"/>
      <c r="I187" s="38" t="n"/>
      <c r="J187" s="38" t="n"/>
      <c r="K187" s="38" t="n"/>
      <c r="L187" s="38" t="n"/>
      <c r="M187" s="38" t="n"/>
      <c r="N187" s="38" t="n"/>
      <c r="O187" s="38" t="n"/>
      <c r="P187" s="38" t="n"/>
      <c r="Q187" s="51">
        <f>IF(COUNT(D187:O187)=0,"",SUM(D187:O187))</f>
        <v/>
      </c>
      <c r="R187" s="38" t="n"/>
    </row>
    <row r="188">
      <c r="A188" s="1" t="n"/>
      <c r="B188" s="9" t="n"/>
      <c r="C188" s="8" t="n"/>
      <c r="D188" s="38" t="n"/>
      <c r="E188" s="38" t="n"/>
      <c r="F188" s="38" t="n"/>
      <c r="G188" s="38" t="n"/>
      <c r="H188" s="38" t="n"/>
      <c r="I188" s="38" t="n"/>
      <c r="J188" s="38" t="n"/>
      <c r="K188" s="38" t="n"/>
      <c r="L188" s="38" t="n"/>
      <c r="M188" s="38" t="n"/>
      <c r="N188" s="38" t="n"/>
      <c r="O188" s="38" t="n"/>
      <c r="P188" s="38" t="n"/>
      <c r="Q188" s="51">
        <f>IF(COUNT(D188:O188)=0,"",SUM(D188:O188))</f>
        <v/>
      </c>
      <c r="R188" s="38" t="n"/>
    </row>
    <row r="189">
      <c r="A189" s="1" t="n"/>
      <c r="B189" s="9" t="n"/>
      <c r="C189" s="8" t="n"/>
      <c r="D189" s="38" t="n"/>
      <c r="E189" s="38" t="n"/>
      <c r="F189" s="38" t="n"/>
      <c r="G189" s="38" t="n"/>
      <c r="H189" s="38" t="n"/>
      <c r="I189" s="38" t="n"/>
      <c r="J189" s="38" t="n"/>
      <c r="K189" s="38" t="n"/>
      <c r="L189" s="38" t="n"/>
      <c r="M189" s="38" t="n"/>
      <c r="N189" s="38" t="n"/>
      <c r="O189" s="38" t="n"/>
      <c r="P189" s="38" t="n"/>
      <c r="Q189" s="51">
        <f>IF(COUNT(D189:O189)=0,"",SUM(D189:O189))</f>
        <v/>
      </c>
      <c r="R189" s="38" t="n"/>
    </row>
    <row r="190">
      <c r="A190" s="1" t="n"/>
      <c r="B190" s="9" t="n"/>
      <c r="C190" s="8" t="n"/>
      <c r="D190" s="38" t="n"/>
      <c r="E190" s="38" t="n"/>
      <c r="F190" s="38" t="n"/>
      <c r="G190" s="38" t="n"/>
      <c r="H190" s="38" t="n"/>
      <c r="I190" s="38" t="n"/>
      <c r="J190" s="38" t="n"/>
      <c r="K190" s="38" t="n"/>
      <c r="L190" s="38" t="n"/>
      <c r="M190" s="38" t="n"/>
      <c r="N190" s="38" t="n"/>
      <c r="O190" s="38" t="n"/>
      <c r="P190" s="38" t="n"/>
      <c r="Q190" s="51">
        <f>IF(COUNT(D190:O190)=0,"",SUM(D190:O190))</f>
        <v/>
      </c>
      <c r="R190" s="38" t="n"/>
    </row>
    <row r="191">
      <c r="A191" s="1" t="n"/>
      <c r="B191" s="9" t="n"/>
      <c r="C191" s="8" t="n"/>
      <c r="D191" s="38" t="n"/>
      <c r="E191" s="38" t="n"/>
      <c r="F191" s="38" t="n"/>
      <c r="G191" s="38" t="n"/>
      <c r="H191" s="38" t="n"/>
      <c r="I191" s="38" t="n"/>
      <c r="J191" s="38" t="n"/>
      <c r="K191" s="38" t="n"/>
      <c r="L191" s="38" t="n"/>
      <c r="M191" s="38" t="n"/>
      <c r="N191" s="38" t="n"/>
      <c r="O191" s="38" t="n"/>
      <c r="P191" s="38" t="n"/>
      <c r="Q191" s="51">
        <f>IF(COUNT(D191:O191)=0,"",SUM(D191:O191))</f>
        <v/>
      </c>
      <c r="R191" s="38" t="n"/>
    </row>
    <row r="192">
      <c r="A192" s="1" t="n"/>
      <c r="B192" s="9" t="n"/>
      <c r="C192" s="8" t="n"/>
      <c r="D192" s="38" t="n"/>
      <c r="E192" s="38" t="n"/>
      <c r="F192" s="38" t="n"/>
      <c r="G192" s="38" t="n"/>
      <c r="H192" s="38" t="n"/>
      <c r="I192" s="38" t="n"/>
      <c r="J192" s="38" t="n"/>
      <c r="K192" s="38" t="n"/>
      <c r="L192" s="38" t="n"/>
      <c r="M192" s="38" t="n"/>
      <c r="N192" s="38" t="n"/>
      <c r="O192" s="38" t="n"/>
      <c r="P192" s="38" t="n"/>
      <c r="Q192" s="51">
        <f>IF(COUNT(D192:O192)=0,"",SUM(D192:O192))</f>
        <v/>
      </c>
      <c r="R192" s="38" t="n"/>
    </row>
    <row r="193">
      <c r="A193" s="1" t="n"/>
      <c r="B193" s="9" t="n"/>
      <c r="C193" s="8" t="n"/>
      <c r="D193" s="38" t="n"/>
      <c r="E193" s="38" t="n"/>
      <c r="F193" s="38" t="n"/>
      <c r="G193" s="38" t="n"/>
      <c r="H193" s="38" t="n"/>
      <c r="I193" s="38" t="n"/>
      <c r="J193" s="38" t="n"/>
      <c r="K193" s="38" t="n"/>
      <c r="L193" s="38" t="n"/>
      <c r="M193" s="38" t="n"/>
      <c r="N193" s="38" t="n"/>
      <c r="O193" s="38" t="n"/>
      <c r="P193" s="38" t="n"/>
      <c r="Q193" s="51">
        <f>IF(COUNT(D193:O193)=0,"",SUM(D193:O193))</f>
        <v/>
      </c>
      <c r="R193" s="38" t="n"/>
    </row>
    <row r="194">
      <c r="A194" s="1" t="n"/>
      <c r="B194" s="9" t="n"/>
      <c r="C194" s="8" t="n"/>
      <c r="D194" s="38" t="n"/>
      <c r="E194" s="38" t="n"/>
      <c r="F194" s="38" t="n"/>
      <c r="G194" s="38" t="n"/>
      <c r="H194" s="38" t="n"/>
      <c r="I194" s="38" t="n"/>
      <c r="J194" s="38" t="n"/>
      <c r="K194" s="38" t="n"/>
      <c r="L194" s="38" t="n"/>
      <c r="M194" s="38" t="n"/>
      <c r="N194" s="38" t="n"/>
      <c r="O194" s="38" t="n"/>
      <c r="P194" s="38" t="n"/>
      <c r="Q194" s="51">
        <f>IF(COUNT(D194:O194)=0,"",SUM(D194:O194))</f>
        <v/>
      </c>
      <c r="R194" s="38" t="n"/>
    </row>
    <row r="195">
      <c r="A195" s="1" t="n"/>
      <c r="B195" s="9" t="n"/>
      <c r="C195" s="8" t="n"/>
      <c r="D195" s="38" t="n"/>
      <c r="E195" s="38" t="n"/>
      <c r="F195" s="38" t="n"/>
      <c r="G195" s="38" t="n"/>
      <c r="H195" s="38" t="n"/>
      <c r="I195" s="38" t="n"/>
      <c r="J195" s="38" t="n"/>
      <c r="K195" s="38" t="n"/>
      <c r="L195" s="38" t="n"/>
      <c r="M195" s="38" t="n"/>
      <c r="N195" s="38" t="n"/>
      <c r="O195" s="38" t="n"/>
      <c r="P195" s="38" t="n"/>
      <c r="Q195" s="51">
        <f>IF(COUNT(D195:O195)=0,"",SUM(D195:O195))</f>
        <v/>
      </c>
      <c r="R195" s="38" t="n"/>
    </row>
    <row r="196">
      <c r="A196" s="1" t="n"/>
      <c r="B196" s="9" t="n"/>
      <c r="C196" s="8" t="n"/>
      <c r="D196" s="38" t="n"/>
      <c r="E196" s="38" t="n"/>
      <c r="F196" s="38" t="n"/>
      <c r="G196" s="38" t="n"/>
      <c r="H196" s="38" t="n"/>
      <c r="I196" s="38" t="n"/>
      <c r="J196" s="38" t="n"/>
      <c r="K196" s="38" t="n"/>
      <c r="L196" s="38" t="n"/>
      <c r="M196" s="38" t="n"/>
      <c r="N196" s="38" t="n"/>
      <c r="O196" s="38" t="n"/>
      <c r="P196" s="38" t="n"/>
      <c r="Q196" s="51">
        <f>IF(COUNT(D196:O196)=0,"",SUM(D196:O196))</f>
        <v/>
      </c>
      <c r="R196" s="38" t="n"/>
    </row>
    <row r="197">
      <c r="A197" s="1" t="n"/>
      <c r="B197" s="9" t="n"/>
      <c r="C197" s="8" t="n"/>
      <c r="D197" s="38" t="n"/>
      <c r="E197" s="38" t="n"/>
      <c r="F197" s="38" t="n"/>
      <c r="G197" s="38" t="n"/>
      <c r="H197" s="38" t="n"/>
      <c r="I197" s="38" t="n"/>
      <c r="J197" s="38" t="n"/>
      <c r="K197" s="38" t="n"/>
      <c r="L197" s="38" t="n"/>
      <c r="M197" s="38" t="n"/>
      <c r="N197" s="38" t="n"/>
      <c r="O197" s="38" t="n"/>
      <c r="P197" s="38" t="n"/>
      <c r="Q197" s="51">
        <f>IF(COUNT(D197:O197)=0,"",SUM(D197:O197))</f>
        <v/>
      </c>
      <c r="R197" s="38" t="n"/>
    </row>
    <row r="198">
      <c r="A198" s="1" t="n"/>
      <c r="B198" s="9" t="n"/>
      <c r="C198" s="8" t="n"/>
      <c r="D198" s="38" t="n"/>
      <c r="E198" s="38" t="n"/>
      <c r="F198" s="38" t="n"/>
      <c r="G198" s="38" t="n"/>
      <c r="H198" s="38" t="n"/>
      <c r="I198" s="38" t="n"/>
      <c r="J198" s="38" t="n"/>
      <c r="K198" s="38" t="n"/>
      <c r="L198" s="38" t="n"/>
      <c r="M198" s="38" t="n"/>
      <c r="N198" s="38" t="n"/>
      <c r="O198" s="38" t="n"/>
      <c r="P198" s="38" t="n"/>
      <c r="Q198" s="51">
        <f>IF(COUNT(D198:O198)=0,"",SUM(D198:O198))</f>
        <v/>
      </c>
      <c r="R198" s="38" t="n"/>
    </row>
    <row r="199">
      <c r="A199" s="1" t="n"/>
      <c r="B199" s="9" t="n"/>
      <c r="C199" s="8" t="n"/>
      <c r="D199" s="38" t="n"/>
      <c r="E199" s="38" t="n"/>
      <c r="F199" s="38" t="n"/>
      <c r="G199" s="38" t="n"/>
      <c r="H199" s="38" t="n"/>
      <c r="I199" s="38" t="n"/>
      <c r="J199" s="38" t="n"/>
      <c r="K199" s="38" t="n"/>
      <c r="L199" s="38" t="n"/>
      <c r="M199" s="38" t="n"/>
      <c r="N199" s="38" t="n"/>
      <c r="O199" s="38" t="n"/>
      <c r="P199" s="38" t="n"/>
      <c r="Q199" s="51">
        <f>IF(COUNT(D199:O199)=0,"",SUM(D199:O199))</f>
        <v/>
      </c>
      <c r="R199" s="38" t="n"/>
    </row>
    <row r="200">
      <c r="A200" s="1" t="n"/>
      <c r="B200" s="9" t="n"/>
      <c r="C200" s="8" t="n"/>
      <c r="D200" s="38" t="n"/>
      <c r="E200" s="38" t="n"/>
      <c r="F200" s="38" t="n"/>
      <c r="G200" s="38" t="n"/>
      <c r="H200" s="38" t="n"/>
      <c r="I200" s="38" t="n"/>
      <c r="J200" s="38" t="n"/>
      <c r="K200" s="38" t="n"/>
      <c r="L200" s="38" t="n"/>
      <c r="M200" s="38" t="n"/>
      <c r="N200" s="38" t="n"/>
      <c r="O200" s="38" t="n"/>
      <c r="P200" s="38" t="n"/>
      <c r="Q200" s="51">
        <f>IF(COUNT(D200:O200)=0,"",SUM(D200:O200))</f>
        <v/>
      </c>
      <c r="R200" s="38" t="n"/>
    </row>
    <row r="201">
      <c r="A201" s="1" t="n"/>
      <c r="B201" s="9" t="n"/>
      <c r="C201" s="8" t="n"/>
      <c r="D201" s="38" t="n"/>
      <c r="E201" s="38" t="n"/>
      <c r="F201" s="38" t="n"/>
      <c r="G201" s="38" t="n"/>
      <c r="H201" s="38" t="n"/>
      <c r="I201" s="38" t="n"/>
      <c r="J201" s="38" t="n"/>
      <c r="K201" s="38" t="n"/>
      <c r="L201" s="38" t="n"/>
      <c r="M201" s="38" t="n"/>
      <c r="N201" s="38" t="n"/>
      <c r="O201" s="38" t="n"/>
      <c r="P201" s="38" t="n"/>
      <c r="Q201" s="51">
        <f>IF(COUNT(D201:O201)=0,"",SUM(D201:O201))</f>
        <v/>
      </c>
      <c r="R201" s="38" t="n"/>
    </row>
    <row r="202">
      <c r="A202" s="1" t="n"/>
      <c r="B202" s="9" t="n"/>
      <c r="C202" s="8" t="n"/>
      <c r="D202" s="38" t="n"/>
      <c r="E202" s="38" t="n"/>
      <c r="F202" s="38" t="n"/>
      <c r="G202" s="38" t="n"/>
      <c r="H202" s="38" t="n"/>
      <c r="I202" s="38" t="n"/>
      <c r="J202" s="38" t="n"/>
      <c r="K202" s="38" t="n"/>
      <c r="L202" s="38" t="n"/>
      <c r="M202" s="38" t="n"/>
      <c r="N202" s="38" t="n"/>
      <c r="O202" s="38" t="n"/>
      <c r="P202" s="38" t="n"/>
      <c r="Q202" s="51">
        <f>IF(COUNT(D202:O202)=0,"",SUM(D202:O202))</f>
        <v/>
      </c>
      <c r="R202" s="38" t="n"/>
    </row>
    <row r="203">
      <c r="A203" s="1" t="n"/>
      <c r="B203" s="9" t="n"/>
      <c r="C203" s="8" t="n"/>
      <c r="D203" s="38" t="n"/>
      <c r="E203" s="38" t="n"/>
      <c r="F203" s="38" t="n"/>
      <c r="G203" s="38" t="n"/>
      <c r="H203" s="38" t="n"/>
      <c r="I203" s="38" t="n"/>
      <c r="J203" s="38" t="n"/>
      <c r="K203" s="38" t="n"/>
      <c r="L203" s="38" t="n"/>
      <c r="M203" s="38" t="n"/>
      <c r="N203" s="38" t="n"/>
      <c r="O203" s="38" t="n"/>
      <c r="P203" s="38" t="n"/>
      <c r="Q203" s="51">
        <f>IF(COUNT(D203:O203)=0,"",SUM(D203:O203))</f>
        <v/>
      </c>
      <c r="R203" s="38" t="n"/>
    </row>
    <row r="204">
      <c r="A204" s="1" t="n"/>
      <c r="B204" s="9" t="n"/>
      <c r="C204" s="8" t="n"/>
      <c r="D204" s="38" t="n"/>
      <c r="E204" s="38" t="n"/>
      <c r="F204" s="38" t="n"/>
      <c r="G204" s="38" t="n"/>
      <c r="H204" s="38" t="n"/>
      <c r="I204" s="38" t="n"/>
      <c r="J204" s="38" t="n"/>
      <c r="K204" s="38" t="n"/>
      <c r="L204" s="38" t="n"/>
      <c r="M204" s="38" t="n"/>
      <c r="N204" s="38" t="n"/>
      <c r="O204" s="38" t="n"/>
      <c r="P204" s="38" t="n"/>
      <c r="Q204" s="51">
        <f>IF(COUNT(D204:O204)=0,"",SUM(D204:O204))</f>
        <v/>
      </c>
      <c r="R204" s="38" t="n"/>
    </row>
    <row r="205">
      <c r="A205" s="1" t="n"/>
      <c r="B205" s="9" t="n"/>
      <c r="C205" s="8" t="n"/>
      <c r="D205" s="38" t="n"/>
      <c r="E205" s="38" t="n"/>
      <c r="F205" s="38" t="n"/>
      <c r="G205" s="38" t="n"/>
      <c r="H205" s="38" t="n"/>
      <c r="I205" s="38" t="n"/>
      <c r="J205" s="38" t="n"/>
      <c r="K205" s="38" t="n"/>
      <c r="L205" s="38" t="n"/>
      <c r="M205" s="38" t="n"/>
      <c r="N205" s="38" t="n"/>
      <c r="O205" s="38" t="n"/>
      <c r="P205" s="38" t="n"/>
      <c r="Q205" s="51">
        <f>IF(COUNT(D205:O205)=0,"",SUM(D205:O205))</f>
        <v/>
      </c>
      <c r="R205" s="38" t="n"/>
    </row>
    <row r="206">
      <c r="A206" s="1" t="n"/>
      <c r="B206" s="9" t="n"/>
      <c r="C206" s="8" t="n"/>
      <c r="D206" s="38" t="n"/>
      <c r="E206" s="38" t="n"/>
      <c r="F206" s="38" t="n"/>
      <c r="G206" s="38" t="n"/>
      <c r="H206" s="38" t="n"/>
      <c r="I206" s="38" t="n"/>
      <c r="J206" s="38" t="n"/>
      <c r="K206" s="38" t="n"/>
      <c r="L206" s="38" t="n"/>
      <c r="M206" s="38" t="n"/>
      <c r="N206" s="38" t="n"/>
      <c r="O206" s="38" t="n"/>
      <c r="P206" s="38" t="n"/>
      <c r="Q206" s="51">
        <f>IF(COUNT(D206:O206)=0,"",SUM(D206:O206))</f>
        <v/>
      </c>
      <c r="R206" s="38" t="n"/>
    </row>
    <row r="207">
      <c r="A207" s="1" t="n"/>
      <c r="B207" s="9" t="n"/>
      <c r="C207" s="8" t="n"/>
      <c r="D207" s="38" t="n"/>
      <c r="E207" s="38" t="n"/>
      <c r="F207" s="38" t="n"/>
      <c r="G207" s="38" t="n"/>
      <c r="H207" s="38" t="n"/>
      <c r="I207" s="38" t="n"/>
      <c r="J207" s="38" t="n"/>
      <c r="K207" s="38" t="n"/>
      <c r="L207" s="38" t="n"/>
      <c r="M207" s="38" t="n"/>
      <c r="N207" s="38" t="n"/>
      <c r="O207" s="38" t="n"/>
      <c r="P207" s="38" t="n"/>
      <c r="Q207" s="51">
        <f>IF(COUNT(D207:O207)=0,"",SUM(D207:O207))</f>
        <v/>
      </c>
      <c r="R207" s="38" t="n"/>
    </row>
    <row r="208">
      <c r="A208" s="1" t="n"/>
      <c r="B208" s="9" t="n"/>
      <c r="C208" s="8" t="n"/>
      <c r="D208" s="38" t="n"/>
      <c r="E208" s="38" t="n"/>
      <c r="F208" s="38" t="n"/>
      <c r="G208" s="38" t="n"/>
      <c r="H208" s="38" t="n"/>
      <c r="I208" s="38" t="n"/>
      <c r="J208" s="38" t="n"/>
      <c r="K208" s="38" t="n"/>
      <c r="L208" s="38" t="n"/>
      <c r="M208" s="38" t="n"/>
      <c r="N208" s="38" t="n"/>
      <c r="O208" s="38" t="n"/>
      <c r="P208" s="38" t="n"/>
      <c r="Q208" s="51">
        <f>IF(COUNT(D208:O208)=0,"",SUM(D208:O208))</f>
        <v/>
      </c>
      <c r="R208" s="38" t="n"/>
    </row>
    <row r="209">
      <c r="A209" s="1" t="n"/>
      <c r="B209" s="9" t="n"/>
      <c r="C209" s="8" t="n"/>
      <c r="D209" s="38" t="n"/>
      <c r="E209" s="38" t="n"/>
      <c r="F209" s="38" t="n"/>
      <c r="G209" s="38" t="n"/>
      <c r="H209" s="38" t="n"/>
      <c r="I209" s="38" t="n"/>
      <c r="J209" s="38" t="n"/>
      <c r="K209" s="38" t="n"/>
      <c r="L209" s="38" t="n"/>
      <c r="M209" s="38" t="n"/>
      <c r="N209" s="38" t="n"/>
      <c r="O209" s="38" t="n"/>
      <c r="P209" s="38" t="n"/>
      <c r="Q209" s="51">
        <f>IF(COUNT(D209:O209)=0,"",SUM(D209:O209))</f>
        <v/>
      </c>
      <c r="R209" s="38" t="n"/>
    </row>
    <row r="210">
      <c r="A210" s="1" t="n"/>
      <c r="B210" s="9" t="n"/>
      <c r="C210" s="8" t="n"/>
      <c r="D210" s="38" t="n"/>
      <c r="E210" s="38" t="n"/>
      <c r="F210" s="38" t="n"/>
      <c r="G210" s="38" t="n"/>
      <c r="H210" s="38" t="n"/>
      <c r="I210" s="38" t="n"/>
      <c r="J210" s="38" t="n"/>
      <c r="K210" s="38" t="n"/>
      <c r="L210" s="38" t="n"/>
      <c r="M210" s="38" t="n"/>
      <c r="N210" s="38" t="n"/>
      <c r="O210" s="38" t="n"/>
      <c r="P210" s="38" t="n"/>
      <c r="Q210" s="51">
        <f>IF(COUNT(D210:O210)=0,"",SUM(D210:O210))</f>
        <v/>
      </c>
      <c r="R210" s="38" t="n"/>
    </row>
    <row r="211">
      <c r="A211" s="1" t="n"/>
      <c r="B211" s="9" t="n"/>
      <c r="C211" s="8" t="n"/>
      <c r="D211" s="38" t="n"/>
      <c r="E211" s="38" t="n"/>
      <c r="F211" s="38" t="n"/>
      <c r="G211" s="38" t="n"/>
      <c r="H211" s="38" t="n"/>
      <c r="I211" s="38" t="n"/>
      <c r="J211" s="38" t="n"/>
      <c r="K211" s="38" t="n"/>
      <c r="L211" s="38" t="n"/>
      <c r="M211" s="38" t="n"/>
      <c r="N211" s="38" t="n"/>
      <c r="O211" s="38" t="n"/>
      <c r="P211" s="38" t="n"/>
      <c r="Q211" s="51">
        <f>IF(COUNT(D211:O211)=0,"",SUM(D211:O211))</f>
        <v/>
      </c>
      <c r="R211" s="38" t="n"/>
    </row>
    <row r="212">
      <c r="A212" s="1" t="n"/>
      <c r="B212" s="9" t="n"/>
      <c r="C212" s="8" t="n"/>
      <c r="D212" s="38" t="n"/>
      <c r="E212" s="38" t="n"/>
      <c r="F212" s="38" t="n"/>
      <c r="G212" s="38" t="n"/>
      <c r="H212" s="38" t="n"/>
      <c r="I212" s="38" t="n"/>
      <c r="J212" s="38" t="n"/>
      <c r="K212" s="38" t="n"/>
      <c r="L212" s="38" t="n"/>
      <c r="M212" s="38" t="n"/>
      <c r="N212" s="38" t="n"/>
      <c r="O212" s="38" t="n"/>
      <c r="P212" s="38" t="n"/>
      <c r="Q212" s="51">
        <f>IF(COUNT(D212:O212)=0,"",SUM(D212:O212))</f>
        <v/>
      </c>
      <c r="R212" s="38" t="n"/>
    </row>
    <row r="213">
      <c r="A213" s="1" t="n"/>
      <c r="B213" s="9" t="n"/>
      <c r="C213" s="8" t="n"/>
      <c r="D213" s="38" t="n"/>
      <c r="E213" s="38" t="n"/>
      <c r="F213" s="38" t="n"/>
      <c r="G213" s="38" t="n"/>
      <c r="H213" s="38" t="n"/>
      <c r="I213" s="38" t="n"/>
      <c r="J213" s="38" t="n"/>
      <c r="K213" s="38" t="n"/>
      <c r="L213" s="38" t="n"/>
      <c r="M213" s="38" t="n"/>
      <c r="N213" s="38" t="n"/>
      <c r="O213" s="38" t="n"/>
      <c r="P213" s="38" t="n"/>
      <c r="Q213" s="51">
        <f>IF(COUNT(D213:O213)=0,"",SUM(D213:O213))</f>
        <v/>
      </c>
      <c r="R213" s="38" t="n"/>
    </row>
    <row r="214">
      <c r="A214" s="1" t="n"/>
      <c r="B214" s="9" t="n"/>
      <c r="C214" s="8" t="n"/>
      <c r="D214" s="38" t="n"/>
      <c r="E214" s="38" t="n"/>
      <c r="F214" s="38" t="n"/>
      <c r="G214" s="38" t="n"/>
      <c r="H214" s="38" t="n"/>
      <c r="I214" s="38" t="n"/>
      <c r="J214" s="38" t="n"/>
      <c r="K214" s="38" t="n"/>
      <c r="L214" s="38" t="n"/>
      <c r="M214" s="38" t="n"/>
      <c r="N214" s="38" t="n"/>
      <c r="O214" s="38" t="n"/>
      <c r="P214" s="38" t="n"/>
      <c r="Q214" s="51">
        <f>IF(COUNT(D214:O214)=0,"",SUM(D214:O214))</f>
        <v/>
      </c>
      <c r="R214" s="38" t="n"/>
    </row>
    <row r="215">
      <c r="A215" s="1" t="n"/>
      <c r="B215" s="9" t="n"/>
      <c r="C215" s="8" t="n"/>
      <c r="D215" s="38" t="n"/>
      <c r="E215" s="38" t="n"/>
      <c r="F215" s="38" t="n"/>
      <c r="G215" s="38" t="n"/>
      <c r="H215" s="38" t="n"/>
      <c r="I215" s="38" t="n"/>
      <c r="J215" s="38" t="n"/>
      <c r="K215" s="38" t="n"/>
      <c r="L215" s="38" t="n"/>
      <c r="M215" s="38" t="n"/>
      <c r="N215" s="38" t="n"/>
      <c r="O215" s="38" t="n"/>
      <c r="P215" s="38" t="n"/>
      <c r="Q215" s="51">
        <f>IF(COUNT(D215:O215)=0,"",SUM(D215:O215))</f>
        <v/>
      </c>
      <c r="R215" s="38" t="n"/>
    </row>
    <row r="216">
      <c r="A216" s="1" t="n"/>
      <c r="B216" s="9" t="n"/>
      <c r="C216" s="8" t="n"/>
      <c r="D216" s="38" t="n"/>
      <c r="E216" s="38" t="n"/>
      <c r="F216" s="38" t="n"/>
      <c r="G216" s="38" t="n"/>
      <c r="H216" s="38" t="n"/>
      <c r="I216" s="38" t="n"/>
      <c r="J216" s="38" t="n"/>
      <c r="K216" s="38" t="n"/>
      <c r="L216" s="38" t="n"/>
      <c r="M216" s="38" t="n"/>
      <c r="N216" s="38" t="n"/>
      <c r="O216" s="38" t="n"/>
      <c r="P216" s="38" t="n"/>
      <c r="Q216" s="51">
        <f>IF(COUNT(D216:O216)=0,"",SUM(D216:O216))</f>
        <v/>
      </c>
      <c r="R216" s="38" t="n"/>
    </row>
    <row r="217">
      <c r="A217" s="1" t="n"/>
      <c r="B217" s="9" t="n"/>
      <c r="C217" s="8" t="n"/>
      <c r="D217" s="38" t="n"/>
      <c r="E217" s="38" t="n"/>
      <c r="F217" s="38" t="n"/>
      <c r="G217" s="38" t="n"/>
      <c r="H217" s="38" t="n"/>
      <c r="I217" s="38" t="n"/>
      <c r="J217" s="38" t="n"/>
      <c r="K217" s="38" t="n"/>
      <c r="L217" s="38" t="n"/>
      <c r="M217" s="38" t="n"/>
      <c r="N217" s="38" t="n"/>
      <c r="O217" s="38" t="n"/>
      <c r="P217" s="38" t="n"/>
      <c r="Q217" s="51">
        <f>IF(COUNT(D217:O217)=0,"",SUM(D217:O217))</f>
        <v/>
      </c>
      <c r="R217" s="38" t="n"/>
    </row>
    <row r="218">
      <c r="A218" s="1" t="n"/>
      <c r="B218" s="9" t="n"/>
      <c r="C218" s="8" t="n"/>
      <c r="D218" s="38" t="n"/>
      <c r="E218" s="38" t="n"/>
      <c r="F218" s="38" t="n"/>
      <c r="G218" s="38" t="n"/>
      <c r="H218" s="38" t="n"/>
      <c r="I218" s="38" t="n"/>
      <c r="J218" s="38" t="n"/>
      <c r="K218" s="38" t="n"/>
      <c r="L218" s="38" t="n"/>
      <c r="M218" s="38" t="n"/>
      <c r="N218" s="38" t="n"/>
      <c r="O218" s="38" t="n"/>
      <c r="P218" s="38" t="n"/>
      <c r="Q218" s="51">
        <f>IF(COUNT(D218:O218)=0,"",SUM(D218:O218))</f>
        <v/>
      </c>
      <c r="R218" s="38" t="n"/>
    </row>
    <row r="219">
      <c r="A219" s="1" t="n"/>
      <c r="B219" s="9" t="n"/>
      <c r="C219" s="8" t="n"/>
      <c r="D219" s="38" t="n"/>
      <c r="E219" s="38" t="n"/>
      <c r="F219" s="38" t="n"/>
      <c r="G219" s="38" t="n"/>
      <c r="H219" s="38" t="n"/>
      <c r="I219" s="38" t="n"/>
      <c r="J219" s="38" t="n"/>
      <c r="K219" s="38" t="n"/>
      <c r="L219" s="38" t="n"/>
      <c r="M219" s="38" t="n"/>
      <c r="N219" s="38" t="n"/>
      <c r="O219" s="38" t="n"/>
      <c r="P219" s="38" t="n"/>
      <c r="Q219" s="51">
        <f>IF(COUNT(D219:O219)=0,"",SUM(D219:O219))</f>
        <v/>
      </c>
      <c r="R219" s="38" t="n"/>
    </row>
    <row r="220">
      <c r="A220" s="1" t="n"/>
      <c r="B220" s="9" t="n"/>
      <c r="C220" s="8" t="n"/>
      <c r="D220" s="38" t="n"/>
      <c r="E220" s="38" t="n"/>
      <c r="F220" s="38" t="n"/>
      <c r="G220" s="38" t="n"/>
      <c r="H220" s="38" t="n"/>
      <c r="I220" s="38" t="n"/>
      <c r="J220" s="38" t="n"/>
      <c r="K220" s="38" t="n"/>
      <c r="L220" s="38" t="n"/>
      <c r="M220" s="38" t="n"/>
      <c r="N220" s="38" t="n"/>
      <c r="O220" s="38" t="n"/>
      <c r="P220" s="38" t="n"/>
      <c r="Q220" s="51">
        <f>IF(COUNT(D220:O220)=0,"",SUM(D220:O220))</f>
        <v/>
      </c>
      <c r="R220" s="38" t="n"/>
    </row>
    <row r="221">
      <c r="A221" s="1" t="n"/>
      <c r="B221" s="9" t="n"/>
      <c r="C221" s="8" t="n"/>
      <c r="D221" s="38" t="n"/>
      <c r="E221" s="38" t="n"/>
      <c r="F221" s="38" t="n"/>
      <c r="G221" s="38" t="n"/>
      <c r="H221" s="38" t="n"/>
      <c r="I221" s="38" t="n"/>
      <c r="J221" s="38" t="n"/>
      <c r="K221" s="38" t="n"/>
      <c r="L221" s="38" t="n"/>
      <c r="M221" s="38" t="n"/>
      <c r="N221" s="38" t="n"/>
      <c r="O221" s="38" t="n"/>
      <c r="P221" s="38" t="n"/>
      <c r="Q221" s="51">
        <f>IF(COUNT(D221:O221)=0,"",SUM(D221:O221))</f>
        <v/>
      </c>
      <c r="R221" s="38" t="n"/>
    </row>
    <row r="222">
      <c r="A222" s="1" t="n"/>
      <c r="B222" s="9" t="n"/>
      <c r="C222" s="8" t="n"/>
      <c r="D222" s="38" t="n"/>
      <c r="E222" s="38" t="n"/>
      <c r="F222" s="38" t="n"/>
      <c r="G222" s="38" t="n"/>
      <c r="H222" s="38" t="n"/>
      <c r="I222" s="38" t="n"/>
      <c r="J222" s="38" t="n"/>
      <c r="K222" s="38" t="n"/>
      <c r="L222" s="38" t="n"/>
      <c r="M222" s="38" t="n"/>
      <c r="N222" s="38" t="n"/>
      <c r="O222" s="38" t="n"/>
      <c r="P222" s="38" t="n"/>
      <c r="Q222" s="51">
        <f>IF(COUNT(D222:O222)=0,"",SUM(D222:O222))</f>
        <v/>
      </c>
      <c r="R222" s="38" t="n"/>
    </row>
    <row r="223">
      <c r="A223" s="1" t="n"/>
      <c r="B223" s="9" t="n"/>
      <c r="C223" s="8" t="n"/>
      <c r="D223" s="38" t="n"/>
      <c r="E223" s="38" t="n"/>
      <c r="F223" s="38" t="n"/>
      <c r="G223" s="38" t="n"/>
      <c r="H223" s="38" t="n"/>
      <c r="I223" s="38" t="n"/>
      <c r="J223" s="38" t="n"/>
      <c r="K223" s="38" t="n"/>
      <c r="L223" s="38" t="n"/>
      <c r="M223" s="38" t="n"/>
      <c r="N223" s="38" t="n"/>
      <c r="O223" s="38" t="n"/>
      <c r="P223" s="38" t="n"/>
      <c r="Q223" s="51">
        <f>IF(COUNT(D223:O223)=0,"",SUM(D223:O223))</f>
        <v/>
      </c>
      <c r="R223" s="38" t="n"/>
    </row>
    <row r="224">
      <c r="A224" s="1" t="n"/>
      <c r="B224" s="9" t="n"/>
      <c r="C224" s="8" t="n"/>
      <c r="D224" s="38" t="n"/>
      <c r="E224" s="38" t="n"/>
      <c r="F224" s="38" t="n"/>
      <c r="G224" s="38" t="n"/>
      <c r="H224" s="38" t="n"/>
      <c r="I224" s="38" t="n"/>
      <c r="J224" s="38" t="n"/>
      <c r="K224" s="38" t="n"/>
      <c r="L224" s="38" t="n"/>
      <c r="M224" s="38" t="n"/>
      <c r="N224" s="38" t="n"/>
      <c r="O224" s="38" t="n"/>
      <c r="P224" s="38" t="n"/>
      <c r="Q224" s="51">
        <f>IF(COUNT(D224:O224)=0,"",SUM(D224:O224))</f>
        <v/>
      </c>
      <c r="R224" s="38" t="n"/>
    </row>
    <row r="225">
      <c r="A225" s="1" t="n"/>
      <c r="B225" s="9" t="n"/>
      <c r="C225" s="8" t="n"/>
      <c r="D225" s="38" t="n"/>
      <c r="E225" s="38" t="n"/>
      <c r="F225" s="38" t="n"/>
      <c r="G225" s="38" t="n"/>
      <c r="H225" s="38" t="n"/>
      <c r="I225" s="38" t="n"/>
      <c r="J225" s="38" t="n"/>
      <c r="K225" s="38" t="n"/>
      <c r="L225" s="38" t="n"/>
      <c r="M225" s="38" t="n"/>
      <c r="N225" s="38" t="n"/>
      <c r="O225" s="38" t="n"/>
      <c r="P225" s="38" t="n"/>
      <c r="Q225" s="51">
        <f>IF(COUNT(D225:O225)=0,"",SUM(D225:O225))</f>
        <v/>
      </c>
      <c r="R225" s="38" t="n"/>
    </row>
    <row r="226">
      <c r="A226" s="1" t="n"/>
      <c r="B226" s="9" t="n"/>
      <c r="C226" s="8" t="n"/>
      <c r="D226" s="38" t="n"/>
      <c r="E226" s="38" t="n"/>
      <c r="F226" s="38" t="n"/>
      <c r="G226" s="38" t="n"/>
      <c r="H226" s="38" t="n"/>
      <c r="I226" s="38" t="n"/>
      <c r="J226" s="38" t="n"/>
      <c r="K226" s="38" t="n"/>
      <c r="L226" s="38" t="n"/>
      <c r="M226" s="38" t="n"/>
      <c r="N226" s="38" t="n"/>
      <c r="O226" s="38" t="n"/>
      <c r="P226" s="38" t="n"/>
      <c r="Q226" s="51">
        <f>IF(COUNT(D226:O226)=0,"",SUM(D226:O226))</f>
        <v/>
      </c>
      <c r="R226" s="38" t="n"/>
    </row>
  </sheetData>
  <sheetProtection selectLockedCells="1" selectUnlockedCells="0" algorithmName="SHA-512" sheet="1" objects="1" insertRows="1" insertHyperlinks="1" autoFilter="1" scenarios="1" formatColumns="0" deleteColumns="1" insertColumns="1" pivotTables="1" deleteRows="1" formatCells="0" saltValue="kR2Lz1QJEyJLiHJBsVqNvQ==" formatRows="0" sort="1" spinCount="100000" hashValue="Npj19r5N85qwBCk4c3p/jsOKtxM6e1g92r/EaiYi0mQDXZkMNPqE1mHXM8k0HpofVJF1JugduiuQXHm1M5sHLA=="/>
  <dataValidations count="1">
    <dataValidation sqref="B7:B226" showDropDown="0" showInputMessage="0" showErrorMessage="0" allowBlank="1" type="list">
      <formula1>=lst_slung_map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0" summaryRight="1"/>
    <pageSetUpPr/>
  </sheetPr>
  <dimension ref="A1:O46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 outlineLevelCol="0"/>
  <cols>
    <col width="2" customWidth="1" style="1" min="1" max="1"/>
    <col width="12" customWidth="1" style="1" min="2" max="2"/>
    <col width="14" customWidth="1" style="1" min="3" max="3"/>
    <col width="7" customWidth="1" style="1" min="4" max="4"/>
    <col width="7" customWidth="1" style="1" min="5" max="5"/>
    <col width="10" customWidth="1" style="1" min="6" max="6"/>
    <col width="13" customWidth="1" style="1" min="7" max="7"/>
    <col width="16" customWidth="1" style="1" min="8" max="8"/>
    <col width="10" customWidth="1" style="1" min="9" max="9"/>
    <col width="16" customWidth="1" style="1" min="10" max="10"/>
    <col width="12" customWidth="1" style="1" min="11" max="11"/>
    <col width="7" customWidth="1" style="1" min="12" max="12"/>
    <col width="13" customWidth="1" style="1" min="13" max="13"/>
    <col width="12" customWidth="1" style="1" min="14" max="14"/>
    <col width="11" customWidth="1" style="1" min="15" max="15"/>
    <col width="13" customWidth="1" style="1" min="16" max="16"/>
    <col width="13" customWidth="1" style="1" min="17" max="17"/>
    <col width="13" customWidth="1" style="1" min="18" max="18"/>
    <col width="13" customWidth="1" style="1" min="19" max="19"/>
    <col width="13" customWidth="1" style="1" min="20" max="20"/>
    <col width="13" customWidth="1" style="1" min="21" max="21"/>
    <col width="13" customWidth="1" style="1" min="22" max="22"/>
    <col width="13" customWidth="1" style="1" min="23" max="23"/>
    <col width="13" customWidth="1" style="1" min="24" max="24"/>
    <col width="13" customWidth="1" style="1" min="25" max="25"/>
    <col width="13" customWidth="1" style="1" min="26" max="26"/>
    <col width="13" customWidth="1" style="1" min="27" max="27"/>
    <col width="13" customWidth="1" style="1" min="28" max="28"/>
    <col width="13" customWidth="1" style="1" min="29" max="29"/>
    <col width="13" customWidth="1" style="1" min="30" max="30"/>
    <col width="13" customWidth="1" style="1" min="31" max="31"/>
    <col width="13" customWidth="1" style="1" min="32" max="32"/>
    <col width="13" customWidth="1" style="1" min="33" max="33"/>
    <col width="13" customWidth="1" style="1" min="34" max="34"/>
    <col width="13" customWidth="1" style="1" min="35" max="35"/>
    <col width="13" customWidth="1" style="1" min="36" max="36"/>
    <col width="13" customWidth="1" style="1" min="37" max="37"/>
    <col width="13" customWidth="1" style="1" min="38" max="38"/>
    <col width="13" customWidth="1" style="1" min="39" max="39"/>
    <col width="13" customWidth="1" style="1" min="40" max="40"/>
    <col width="13" customWidth="1" style="1" min="41" max="41"/>
    <col width="13" customWidth="1" style="1" min="42" max="42"/>
    <col width="13" customWidth="1" style="1" min="43" max="43"/>
    <col width="13" customWidth="1" style="1" min="44" max="44"/>
  </cols>
  <sheetData>
    <row r="1" ht="46" customHeight="1">
      <c r="A1" s="1" t="n"/>
      <c r="B1" s="2" t="n"/>
      <c r="C1" s="1" t="n"/>
      <c r="D1" s="3">
        <f>IF('Summary &amp; Assumptions'!$C$6="",IFERROR(LEFT('Summary &amp; Assumptions'!$C$7,FIND(",",'Summary &amp; Assumptions'!$C$7)-1),'Summary &amp; Assumptions'!$C$7),'Summary &amp; Assumptions'!$C$6)&amp;", "&amp;'Summary &amp; Assumptions'!$C$8&amp;", "&amp;'Summary &amp; Assumptions'!$C$9&amp;" - "&amp;'Summary &amp; Assumptions'!$C$11&amp;" Units - Built in "&amp;'Summary &amp; Assumptions'!$C$12</f>
        <v/>
      </c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</row>
    <row r="2">
      <c r="A2" s="1" t="n"/>
      <c r="B2" s="4" t="inlineStr">
        <is>
          <t>Rent Roll</t>
        </is>
      </c>
      <c r="C2" s="1" t="n"/>
      <c r="D2" s="5" t="inlineStr">
        <is>
          <t>View Dashboard on Slung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</row>
    <row r="3">
      <c r="A3" s="1" t="n"/>
      <c r="B3" s="3" t="inlineStr">
        <is>
          <t>Paste the roll as-is. Analytics below update automatically.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</row>
    <row r="4">
      <c r="A4" s="1" t="n"/>
      <c r="B4" s="6" t="inlineStr">
        <is>
          <t>Rent Roll (as of analysis date)</t>
        </is>
      </c>
      <c r="C4" s="7" t="n"/>
      <c r="D4" s="7" t="n"/>
      <c r="E4" s="7" t="n"/>
      <c r="F4" s="7" t="n"/>
      <c r="G4" s="7" t="n"/>
      <c r="H4" s="7" t="n"/>
      <c r="I4" s="7" t="n"/>
      <c r="J4" s="7" t="n"/>
      <c r="K4" s="7" t="n"/>
      <c r="L4" s="7" t="n"/>
      <c r="M4" s="7" t="n"/>
      <c r="N4" s="7" t="n"/>
      <c r="O4" s="7" t="n"/>
    </row>
    <row r="5">
      <c r="A5" s="1" t="n"/>
      <c r="B5" s="22" t="inlineStr">
        <is>
          <t>Unit #</t>
        </is>
      </c>
      <c r="C5" s="22" t="inlineStr">
        <is>
          <t>Floor Plan</t>
        </is>
      </c>
      <c r="D5" s="22" t="inlineStr">
        <is>
          <t>Beds</t>
        </is>
      </c>
      <c r="E5" s="22" t="inlineStr">
        <is>
          <t>Baths</t>
        </is>
      </c>
      <c r="F5" s="22" t="inlineStr">
        <is>
          <t>SF</t>
        </is>
      </c>
      <c r="G5" s="22" t="inlineStr">
        <is>
          <t>Status</t>
        </is>
      </c>
      <c r="H5" s="22" t="inlineStr">
        <is>
          <t>In-Place Rent /mo</t>
        </is>
      </c>
      <c r="I5" s="22" t="inlineStr">
        <is>
          <t>Rent /SF</t>
        </is>
      </c>
      <c r="J5" s="22" t="inlineStr">
        <is>
          <t>Market Rent /mo</t>
        </is>
      </c>
      <c r="K5" s="22" t="inlineStr">
        <is>
          <t>Lease Start</t>
        </is>
      </c>
      <c r="L5" s="22" t="inlineStr">
        <is>
          <t>MTM</t>
        </is>
      </c>
      <c r="M5" s="22" t="inlineStr">
        <is>
          <t>Lease End (Date)</t>
        </is>
      </c>
      <c r="N5" s="22" t="inlineStr">
        <is>
          <t>Lease End</t>
        </is>
      </c>
      <c r="O5" s="22" t="inlineStr">
        <is>
          <t>Renovated</t>
        </is>
      </c>
    </row>
    <row r="6">
      <c r="A6" s="1" t="n"/>
      <c r="B6" s="9" t="n"/>
      <c r="C6" s="9" t="n"/>
      <c r="D6" s="14" t="n"/>
      <c r="E6" s="56" t="n"/>
      <c r="F6" s="19" t="n"/>
      <c r="G6" s="9" t="n"/>
      <c r="H6" s="10" t="n"/>
      <c r="I6" s="80">
        <f>IF($F6&gt;0,$H6/$F6,"")</f>
        <v/>
      </c>
      <c r="J6" s="10" t="n"/>
      <c r="K6" s="45" t="n"/>
      <c r="L6" s="9">
        <f>IF($B6="","",IF(AND($G6&lt;&gt;"Vacant",$M6="",OR($K6&lt;&gt;"",$G6="Occupied")),"Yes","No"))</f>
        <v/>
      </c>
      <c r="M6" s="45" t="n"/>
      <c r="N6" s="24">
        <f>IF($B6="","",IF($G6="Vacant","Vacant",IF(L6="Yes","MTM",IF(M6="","",M6))))</f>
        <v/>
      </c>
      <c r="O6" s="9" t="n"/>
    </row>
    <row r="7">
      <c r="A7" s="1" t="n"/>
      <c r="B7" s="9" t="n"/>
      <c r="C7" s="9" t="n"/>
      <c r="D7" s="14" t="n"/>
      <c r="E7" s="56" t="n"/>
      <c r="F7" s="19" t="n"/>
      <c r="G7" s="9" t="n"/>
      <c r="H7" s="10" t="n"/>
      <c r="I7" s="80">
        <f>IF($F7&gt;0,$H7/$F7,"")</f>
        <v/>
      </c>
      <c r="J7" s="10" t="n"/>
      <c r="K7" s="45" t="n"/>
      <c r="L7" s="9">
        <f>IF($B7="","",IF(AND($G7&lt;&gt;"Vacant",$M7="",OR($K7&lt;&gt;"",$G7="Occupied")),"Yes","No"))</f>
        <v/>
      </c>
      <c r="M7" s="45" t="n"/>
      <c r="N7" s="24">
        <f>IF($B7="","",IF($G7="Vacant","Vacant",IF(L7="Yes","MTM",IF(M7="","",M7))))</f>
        <v/>
      </c>
      <c r="O7" s="9" t="n"/>
    </row>
    <row r="8">
      <c r="A8" s="1" t="n"/>
      <c r="B8" s="9" t="n"/>
      <c r="C8" s="9" t="n"/>
      <c r="D8" s="14" t="n"/>
      <c r="E8" s="56" t="n"/>
      <c r="F8" s="19" t="n"/>
      <c r="G8" s="9" t="n"/>
      <c r="H8" s="10" t="n"/>
      <c r="I8" s="80">
        <f>IF($F8&gt;0,$H8/$F8,"")</f>
        <v/>
      </c>
      <c r="J8" s="10" t="n"/>
      <c r="K8" s="45" t="n"/>
      <c r="L8" s="9">
        <f>IF($B8="","",IF(AND($G8&lt;&gt;"Vacant",$M8="",OR($K8&lt;&gt;"",$G8="Occupied")),"Yes","No"))</f>
        <v/>
      </c>
      <c r="M8" s="45" t="n"/>
      <c r="N8" s="24">
        <f>IF($B8="","",IF($G8="Vacant","Vacant",IF(L8="Yes","MTM",IF(M8="","",M8))))</f>
        <v/>
      </c>
      <c r="O8" s="9" t="n"/>
    </row>
    <row r="9">
      <c r="A9" s="1" t="n"/>
      <c r="B9" s="9" t="n"/>
      <c r="C9" s="9" t="n"/>
      <c r="D9" s="14" t="n"/>
      <c r="E9" s="56" t="n"/>
      <c r="F9" s="19" t="n"/>
      <c r="G9" s="9" t="n"/>
      <c r="H9" s="10" t="n"/>
      <c r="I9" s="80">
        <f>IF($F9&gt;0,$H9/$F9,"")</f>
        <v/>
      </c>
      <c r="J9" s="10" t="n"/>
      <c r="K9" s="45" t="n"/>
      <c r="L9" s="9">
        <f>IF($B9="","",IF(AND($G9&lt;&gt;"Vacant",$M9="",OR($K9&lt;&gt;"",$G9="Occupied")),"Yes","No"))</f>
        <v/>
      </c>
      <c r="M9" s="45" t="n"/>
      <c r="N9" s="24">
        <f>IF($B9="","",IF($G9="Vacant","Vacant",IF(L9="Yes","MTM",IF(M9="","",M9))))</f>
        <v/>
      </c>
      <c r="O9" s="9" t="n"/>
    </row>
    <row r="10">
      <c r="A10" s="1" t="n"/>
      <c r="B10" s="9" t="n"/>
      <c r="C10" s="9" t="n"/>
      <c r="D10" s="14" t="n"/>
      <c r="E10" s="56" t="n"/>
      <c r="F10" s="19" t="n"/>
      <c r="G10" s="9" t="n"/>
      <c r="H10" s="10" t="n"/>
      <c r="I10" s="80">
        <f>IF($F10&gt;0,$H10/$F10,"")</f>
        <v/>
      </c>
      <c r="J10" s="10" t="n"/>
      <c r="K10" s="45" t="n"/>
      <c r="L10" s="9">
        <f>IF($B10="","",IF(AND($G10&lt;&gt;"Vacant",$M10="",OR($K10&lt;&gt;"",$G10="Occupied")),"Yes","No"))</f>
        <v/>
      </c>
      <c r="M10" s="45" t="n"/>
      <c r="N10" s="24">
        <f>IF($B10="","",IF($G10="Vacant","Vacant",IF(L10="Yes","MTM",IF(M10="","",M10))))</f>
        <v/>
      </c>
      <c r="O10" s="9" t="n"/>
    </row>
    <row r="11">
      <c r="A11" s="1" t="n"/>
      <c r="B11" s="9" t="n"/>
      <c r="C11" s="9" t="n"/>
      <c r="D11" s="14" t="n"/>
      <c r="E11" s="56" t="n"/>
      <c r="F11" s="19" t="n"/>
      <c r="G11" s="9" t="n"/>
      <c r="H11" s="10" t="n"/>
      <c r="I11" s="80">
        <f>IF($F11&gt;0,$H11/$F11,"")</f>
        <v/>
      </c>
      <c r="J11" s="10" t="n"/>
      <c r="K11" s="45" t="n"/>
      <c r="L11" s="9">
        <f>IF($B11="","",IF(AND($G11&lt;&gt;"Vacant",$M11="",OR($K11&lt;&gt;"",$G11="Occupied")),"Yes","No"))</f>
        <v/>
      </c>
      <c r="M11" s="45" t="n"/>
      <c r="N11" s="24">
        <f>IF($B11="","",IF($G11="Vacant","Vacant",IF(L11="Yes","MTM",IF(M11="","",M11))))</f>
        <v/>
      </c>
      <c r="O11" s="9" t="n"/>
    </row>
    <row r="12">
      <c r="A12" s="1" t="n"/>
      <c r="B12" s="9" t="n"/>
      <c r="C12" s="9" t="n"/>
      <c r="D12" s="14" t="n"/>
      <c r="E12" s="56" t="n"/>
      <c r="F12" s="19" t="n"/>
      <c r="G12" s="9" t="n"/>
      <c r="H12" s="10" t="n"/>
      <c r="I12" s="80">
        <f>IF($F12&gt;0,$H12/$F12,"")</f>
        <v/>
      </c>
      <c r="J12" s="10" t="n"/>
      <c r="K12" s="45" t="n"/>
      <c r="L12" s="9">
        <f>IF($B12="","",IF(AND($G12&lt;&gt;"Vacant",$M12="",OR($K12&lt;&gt;"",$G12="Occupied")),"Yes","No"))</f>
        <v/>
      </c>
      <c r="M12" s="45" t="n"/>
      <c r="N12" s="24">
        <f>IF($B12="","",IF($G12="Vacant","Vacant",IF(L12="Yes","MTM",IF(M12="","",M12))))</f>
        <v/>
      </c>
      <c r="O12" s="9" t="n"/>
    </row>
    <row r="13">
      <c r="A13" s="1" t="n"/>
      <c r="B13" s="9" t="n"/>
      <c r="C13" s="9" t="n"/>
      <c r="D13" s="14" t="n"/>
      <c r="E13" s="56" t="n"/>
      <c r="F13" s="19" t="n"/>
      <c r="G13" s="9" t="n"/>
      <c r="H13" s="10" t="n"/>
      <c r="I13" s="80">
        <f>IF($F13&gt;0,$H13/$F13,"")</f>
        <v/>
      </c>
      <c r="J13" s="10" t="n"/>
      <c r="K13" s="45" t="n"/>
      <c r="L13" s="9">
        <f>IF($B13="","",IF(AND($G13&lt;&gt;"Vacant",$M13="",OR($K13&lt;&gt;"",$G13="Occupied")),"Yes","No"))</f>
        <v/>
      </c>
      <c r="M13" s="45" t="n"/>
      <c r="N13" s="24">
        <f>IF($B13="","",IF($G13="Vacant","Vacant",IF(L13="Yes","MTM",IF(M13="","",M13))))</f>
        <v/>
      </c>
      <c r="O13" s="9" t="n"/>
    </row>
    <row r="14">
      <c r="A14" s="1" t="n"/>
      <c r="B14" s="9" t="n"/>
      <c r="C14" s="9" t="n"/>
      <c r="D14" s="14" t="n"/>
      <c r="E14" s="56" t="n"/>
      <c r="F14" s="19" t="n"/>
      <c r="G14" s="9" t="n"/>
      <c r="H14" s="10" t="n"/>
      <c r="I14" s="80">
        <f>IF($F14&gt;0,$H14/$F14,"")</f>
        <v/>
      </c>
      <c r="J14" s="10" t="n"/>
      <c r="K14" s="45" t="n"/>
      <c r="L14" s="9">
        <f>IF($B14="","",IF(AND($G14&lt;&gt;"Vacant",$M14="",OR($K14&lt;&gt;"",$G14="Occupied")),"Yes","No"))</f>
        <v/>
      </c>
      <c r="M14" s="45" t="n"/>
      <c r="N14" s="24">
        <f>IF($B14="","",IF($G14="Vacant","Vacant",IF(L14="Yes","MTM",IF(M14="","",M14))))</f>
        <v/>
      </c>
      <c r="O14" s="9" t="n"/>
    </row>
    <row r="15">
      <c r="A15" s="1" t="n"/>
      <c r="B15" s="9" t="n"/>
      <c r="C15" s="9" t="n"/>
      <c r="D15" s="14" t="n"/>
      <c r="E15" s="56" t="n"/>
      <c r="F15" s="19" t="n"/>
      <c r="G15" s="9" t="n"/>
      <c r="H15" s="10" t="n"/>
      <c r="I15" s="80">
        <f>IF($F15&gt;0,$H15/$F15,"")</f>
        <v/>
      </c>
      <c r="J15" s="10" t="n"/>
      <c r="K15" s="45" t="n"/>
      <c r="L15" s="9">
        <f>IF($B15="","",IF(AND($G15&lt;&gt;"Vacant",$M15="",OR($K15&lt;&gt;"",$G15="Occupied")),"Yes","No"))</f>
        <v/>
      </c>
      <c r="M15" s="45" t="n"/>
      <c r="N15" s="24">
        <f>IF($B15="","",IF($G15="Vacant","Vacant",IF(L15="Yes","MTM",IF(M15="","",M15))))</f>
        <v/>
      </c>
      <c r="O15" s="9" t="n"/>
    </row>
    <row r="16">
      <c r="A16" s="1" t="n"/>
      <c r="B16" s="9" t="n"/>
      <c r="C16" s="9" t="n"/>
      <c r="D16" s="14" t="n"/>
      <c r="E16" s="56" t="n"/>
      <c r="F16" s="19" t="n"/>
      <c r="G16" s="9" t="n"/>
      <c r="H16" s="10" t="n"/>
      <c r="I16" s="80">
        <f>IF($F16&gt;0,$H16/$F16,"")</f>
        <v/>
      </c>
      <c r="J16" s="10" t="n"/>
      <c r="K16" s="45" t="n"/>
      <c r="L16" s="9">
        <f>IF($B16="","",IF(AND($G16&lt;&gt;"Vacant",$M16="",OR($K16&lt;&gt;"",$G16="Occupied")),"Yes","No"))</f>
        <v/>
      </c>
      <c r="M16" s="45" t="n"/>
      <c r="N16" s="24">
        <f>IF($B16="","",IF($G16="Vacant","Vacant",IF(L16="Yes","MTM",IF(M16="","",M16))))</f>
        <v/>
      </c>
      <c r="O16" s="9" t="n"/>
    </row>
    <row r="17">
      <c r="A17" s="1" t="n"/>
      <c r="B17" s="9" t="n"/>
      <c r="C17" s="9" t="n"/>
      <c r="D17" s="14" t="n"/>
      <c r="E17" s="56" t="n"/>
      <c r="F17" s="19" t="n"/>
      <c r="G17" s="9" t="n"/>
      <c r="H17" s="10" t="n"/>
      <c r="I17" s="80">
        <f>IF($F17&gt;0,$H17/$F17,"")</f>
        <v/>
      </c>
      <c r="J17" s="10" t="n"/>
      <c r="K17" s="45" t="n"/>
      <c r="L17" s="9">
        <f>IF($B17="","",IF(AND($G17&lt;&gt;"Vacant",$M17="",OR($K17&lt;&gt;"",$G17="Occupied")),"Yes","No"))</f>
        <v/>
      </c>
      <c r="M17" s="45" t="n"/>
      <c r="N17" s="24">
        <f>IF($B17="","",IF($G17="Vacant","Vacant",IF(L17="Yes","MTM",IF(M17="","",M17))))</f>
        <v/>
      </c>
      <c r="O17" s="9" t="n"/>
    </row>
    <row r="18">
      <c r="A18" s="1" t="n"/>
      <c r="B18" s="9" t="n"/>
      <c r="C18" s="9" t="n"/>
      <c r="D18" s="14" t="n"/>
      <c r="E18" s="56" t="n"/>
      <c r="F18" s="19" t="n"/>
      <c r="G18" s="9" t="n"/>
      <c r="H18" s="10" t="n"/>
      <c r="I18" s="80">
        <f>IF($F18&gt;0,$H18/$F18,"")</f>
        <v/>
      </c>
      <c r="J18" s="10" t="n"/>
      <c r="K18" s="45" t="n"/>
      <c r="L18" s="9">
        <f>IF($B18="","",IF(AND($G18&lt;&gt;"Vacant",$M18="",OR($K18&lt;&gt;"",$G18="Occupied")),"Yes","No"))</f>
        <v/>
      </c>
      <c r="M18" s="45" t="n"/>
      <c r="N18" s="24">
        <f>IF($B18="","",IF($G18="Vacant","Vacant",IF(L18="Yes","MTM",IF(M18="","",M18))))</f>
        <v/>
      </c>
      <c r="O18" s="9" t="n"/>
    </row>
    <row r="19">
      <c r="A19" s="1" t="n"/>
      <c r="B19" s="9" t="n"/>
      <c r="C19" s="9" t="n"/>
      <c r="D19" s="14" t="n"/>
      <c r="E19" s="56" t="n"/>
      <c r="F19" s="19" t="n"/>
      <c r="G19" s="9" t="n"/>
      <c r="H19" s="10" t="n"/>
      <c r="I19" s="80">
        <f>IF($F19&gt;0,$H19/$F19,"")</f>
        <v/>
      </c>
      <c r="J19" s="10" t="n"/>
      <c r="K19" s="45" t="n"/>
      <c r="L19" s="9">
        <f>IF($B19="","",IF(AND($G19&lt;&gt;"Vacant",$M19="",OR($K19&lt;&gt;"",$G19="Occupied")),"Yes","No"))</f>
        <v/>
      </c>
      <c r="M19" s="45" t="n"/>
      <c r="N19" s="24">
        <f>IF($B19="","",IF($G19="Vacant","Vacant",IF(L19="Yes","MTM",IF(M19="","",M19))))</f>
        <v/>
      </c>
      <c r="O19" s="9" t="n"/>
    </row>
    <row r="20">
      <c r="A20" s="1" t="n"/>
      <c r="B20" s="9" t="n"/>
      <c r="C20" s="9" t="n"/>
      <c r="D20" s="14" t="n"/>
      <c r="E20" s="56" t="n"/>
      <c r="F20" s="19" t="n"/>
      <c r="G20" s="9" t="n"/>
      <c r="H20" s="10" t="n"/>
      <c r="I20" s="80">
        <f>IF($F20&gt;0,$H20/$F20,"")</f>
        <v/>
      </c>
      <c r="J20" s="10" t="n"/>
      <c r="K20" s="45" t="n"/>
      <c r="L20" s="9">
        <f>IF($B20="","",IF(AND($G20&lt;&gt;"Vacant",$M20="",OR($K20&lt;&gt;"",$G20="Occupied")),"Yes","No"))</f>
        <v/>
      </c>
      <c r="M20" s="45" t="n"/>
      <c r="N20" s="24">
        <f>IF($B20="","",IF($G20="Vacant","Vacant",IF(L20="Yes","MTM",IF(M20="","",M20))))</f>
        <v/>
      </c>
      <c r="O20" s="9" t="n"/>
    </row>
    <row r="21">
      <c r="A21" s="1" t="n"/>
      <c r="B21" s="9" t="n"/>
      <c r="C21" s="9" t="n"/>
      <c r="D21" s="14" t="n"/>
      <c r="E21" s="56" t="n"/>
      <c r="F21" s="19" t="n"/>
      <c r="G21" s="9" t="n"/>
      <c r="H21" s="10" t="n"/>
      <c r="I21" s="80">
        <f>IF($F21&gt;0,$H21/$F21,"")</f>
        <v/>
      </c>
      <c r="J21" s="10" t="n"/>
      <c r="K21" s="45" t="n"/>
      <c r="L21" s="9">
        <f>IF($B21="","",IF(AND($G21&lt;&gt;"Vacant",$M21="",OR($K21&lt;&gt;"",$G21="Occupied")),"Yes","No"))</f>
        <v/>
      </c>
      <c r="M21" s="45" t="n"/>
      <c r="N21" s="24">
        <f>IF($B21="","",IF($G21="Vacant","Vacant",IF(L21="Yes","MTM",IF(M21="","",M21))))</f>
        <v/>
      </c>
      <c r="O21" s="9" t="n"/>
    </row>
    <row r="22">
      <c r="A22" s="1" t="n"/>
      <c r="B22" s="9" t="n"/>
      <c r="C22" s="9" t="n"/>
      <c r="D22" s="14" t="n"/>
      <c r="E22" s="56" t="n"/>
      <c r="F22" s="19" t="n"/>
      <c r="G22" s="9" t="n"/>
      <c r="H22" s="10" t="n"/>
      <c r="I22" s="80">
        <f>IF($F22&gt;0,$H22/$F22,"")</f>
        <v/>
      </c>
      <c r="J22" s="10" t="n"/>
      <c r="K22" s="45" t="n"/>
      <c r="L22" s="9">
        <f>IF($B22="","",IF(AND($G22&lt;&gt;"Vacant",$M22="",OR($K22&lt;&gt;"",$G22="Occupied")),"Yes","No"))</f>
        <v/>
      </c>
      <c r="M22" s="45" t="n"/>
      <c r="N22" s="24">
        <f>IF($B22="","",IF($G22="Vacant","Vacant",IF(L22="Yes","MTM",IF(M22="","",M22))))</f>
        <v/>
      </c>
      <c r="O22" s="9" t="n"/>
    </row>
    <row r="23">
      <c r="A23" s="1" t="n"/>
      <c r="B23" s="9" t="n"/>
      <c r="C23" s="9" t="n"/>
      <c r="D23" s="14" t="n"/>
      <c r="E23" s="56" t="n"/>
      <c r="F23" s="19" t="n"/>
      <c r="G23" s="9" t="n"/>
      <c r="H23" s="10" t="n"/>
      <c r="I23" s="80">
        <f>IF($F23&gt;0,$H23/$F23,"")</f>
        <v/>
      </c>
      <c r="J23" s="10" t="n"/>
      <c r="K23" s="45" t="n"/>
      <c r="L23" s="9">
        <f>IF($B23="","",IF(AND($G23&lt;&gt;"Vacant",$M23="",OR($K23&lt;&gt;"",$G23="Occupied")),"Yes","No"))</f>
        <v/>
      </c>
      <c r="M23" s="45" t="n"/>
      <c r="N23" s="24">
        <f>IF($B23="","",IF($G23="Vacant","Vacant",IF(L23="Yes","MTM",IF(M23="","",M23))))</f>
        <v/>
      </c>
      <c r="O23" s="9" t="n"/>
    </row>
    <row r="24">
      <c r="A24" s="1" t="n"/>
      <c r="B24" s="9" t="n"/>
      <c r="C24" s="9" t="n"/>
      <c r="D24" s="14" t="n"/>
      <c r="E24" s="56" t="n"/>
      <c r="F24" s="19" t="n"/>
      <c r="G24" s="9" t="n"/>
      <c r="H24" s="10" t="n"/>
      <c r="I24" s="80">
        <f>IF($F24&gt;0,$H24/$F24,"")</f>
        <v/>
      </c>
      <c r="J24" s="10" t="n"/>
      <c r="K24" s="45" t="n"/>
      <c r="L24" s="9">
        <f>IF($B24="","",IF(AND($G24&lt;&gt;"Vacant",$M24="",OR($K24&lt;&gt;"",$G24="Occupied")),"Yes","No"))</f>
        <v/>
      </c>
      <c r="M24" s="45" t="n"/>
      <c r="N24" s="24">
        <f>IF($B24="","",IF($G24="Vacant","Vacant",IF(L24="Yes","MTM",IF(M24="","",M24))))</f>
        <v/>
      </c>
      <c r="O24" s="9" t="n"/>
    </row>
    <row r="25">
      <c r="A25" s="1" t="n"/>
      <c r="B25" s="9" t="n"/>
      <c r="C25" s="9" t="n"/>
      <c r="D25" s="14" t="n"/>
      <c r="E25" s="56" t="n"/>
      <c r="F25" s="19" t="n"/>
      <c r="G25" s="9" t="n"/>
      <c r="H25" s="10" t="n"/>
      <c r="I25" s="80">
        <f>IF($F25&gt;0,$H25/$F25,"")</f>
        <v/>
      </c>
      <c r="J25" s="10" t="n"/>
      <c r="K25" s="45" t="n"/>
      <c r="L25" s="9">
        <f>IF($B25="","",IF(AND($G25&lt;&gt;"Vacant",$M25="",OR($K25&lt;&gt;"",$G25="Occupied")),"Yes","No"))</f>
        <v/>
      </c>
      <c r="M25" s="45" t="n"/>
      <c r="N25" s="24">
        <f>IF($B25="","",IF($G25="Vacant","Vacant",IF(L25="Yes","MTM",IF(M25="","",M25))))</f>
        <v/>
      </c>
      <c r="O25" s="9" t="n"/>
    </row>
    <row r="26">
      <c r="A26" s="1" t="n"/>
      <c r="B26" s="9" t="n"/>
      <c r="C26" s="9" t="n"/>
      <c r="D26" s="14" t="n"/>
      <c r="E26" s="56" t="n"/>
      <c r="F26" s="19" t="n"/>
      <c r="G26" s="9" t="n"/>
      <c r="H26" s="10" t="n"/>
      <c r="I26" s="80">
        <f>IF($F26&gt;0,$H26/$F26,"")</f>
        <v/>
      </c>
      <c r="J26" s="10" t="n"/>
      <c r="K26" s="45" t="n"/>
      <c r="L26" s="9">
        <f>IF($B26="","",IF(AND($G26&lt;&gt;"Vacant",$M26="",OR($K26&lt;&gt;"",$G26="Occupied")),"Yes","No"))</f>
        <v/>
      </c>
      <c r="M26" s="45" t="n"/>
      <c r="N26" s="24">
        <f>IF($B26="","",IF($G26="Vacant","Vacant",IF(L26="Yes","MTM",IF(M26="","",M26))))</f>
        <v/>
      </c>
      <c r="O26" s="9" t="n"/>
    </row>
    <row r="27">
      <c r="A27" s="1" t="n"/>
      <c r="B27" s="9" t="n"/>
      <c r="C27" s="9" t="n"/>
      <c r="D27" s="14" t="n"/>
      <c r="E27" s="56" t="n"/>
      <c r="F27" s="19" t="n"/>
      <c r="G27" s="9" t="n"/>
      <c r="H27" s="10" t="n"/>
      <c r="I27" s="80">
        <f>IF($F27&gt;0,$H27/$F27,"")</f>
        <v/>
      </c>
      <c r="J27" s="10" t="n"/>
      <c r="K27" s="45" t="n"/>
      <c r="L27" s="9">
        <f>IF($B27="","",IF(AND($G27&lt;&gt;"Vacant",$M27="",OR($K27&lt;&gt;"",$G27="Occupied")),"Yes","No"))</f>
        <v/>
      </c>
      <c r="M27" s="45" t="n"/>
      <c r="N27" s="24">
        <f>IF($B27="","",IF($G27="Vacant","Vacant",IF(L27="Yes","MTM",IF(M27="","",M27))))</f>
        <v/>
      </c>
      <c r="O27" s="9" t="n"/>
    </row>
    <row r="28">
      <c r="A28" s="1" t="n"/>
      <c r="B28" s="9" t="n"/>
      <c r="C28" s="9" t="n"/>
      <c r="D28" s="14" t="n"/>
      <c r="E28" s="56" t="n"/>
      <c r="F28" s="19" t="n"/>
      <c r="G28" s="9" t="n"/>
      <c r="H28" s="10" t="n"/>
      <c r="I28" s="80">
        <f>IF($F28&gt;0,$H28/$F28,"")</f>
        <v/>
      </c>
      <c r="J28" s="10" t="n"/>
      <c r="K28" s="45" t="n"/>
      <c r="L28" s="9">
        <f>IF($B28="","",IF(AND($G28&lt;&gt;"Vacant",$M28="",OR($K28&lt;&gt;"",$G28="Occupied")),"Yes","No"))</f>
        <v/>
      </c>
      <c r="M28" s="45" t="n"/>
      <c r="N28" s="24">
        <f>IF($B28="","",IF($G28="Vacant","Vacant",IF(L28="Yes","MTM",IF(M28="","",M28))))</f>
        <v/>
      </c>
      <c r="O28" s="9" t="n"/>
    </row>
    <row r="29">
      <c r="A29" s="1" t="n"/>
      <c r="B29" s="9" t="n"/>
      <c r="C29" s="9" t="n"/>
      <c r="D29" s="14" t="n"/>
      <c r="E29" s="56" t="n"/>
      <c r="F29" s="19" t="n"/>
      <c r="G29" s="9" t="n"/>
      <c r="H29" s="10" t="n"/>
      <c r="I29" s="80">
        <f>IF($F29&gt;0,$H29/$F29,"")</f>
        <v/>
      </c>
      <c r="J29" s="10" t="n"/>
      <c r="K29" s="45" t="n"/>
      <c r="L29" s="9">
        <f>IF($B29="","",IF(AND($G29&lt;&gt;"Vacant",$M29="",OR($K29&lt;&gt;"",$G29="Occupied")),"Yes","No"))</f>
        <v/>
      </c>
      <c r="M29" s="45" t="n"/>
      <c r="N29" s="24">
        <f>IF($B29="","",IF($G29="Vacant","Vacant",IF(L29="Yes","MTM",IF(M29="","",M29))))</f>
        <v/>
      </c>
      <c r="O29" s="9" t="n"/>
    </row>
    <row r="30">
      <c r="A30" s="1" t="n"/>
      <c r="B30" s="9" t="n"/>
      <c r="C30" s="9" t="n"/>
      <c r="D30" s="14" t="n"/>
      <c r="E30" s="56" t="n"/>
      <c r="F30" s="19" t="n"/>
      <c r="G30" s="9" t="n"/>
      <c r="H30" s="10" t="n"/>
      <c r="I30" s="80">
        <f>IF($F30&gt;0,$H30/$F30,"")</f>
        <v/>
      </c>
      <c r="J30" s="10" t="n"/>
      <c r="K30" s="45" t="n"/>
      <c r="L30" s="9">
        <f>IF($B30="","",IF(AND($G30&lt;&gt;"Vacant",$M30="",OR($K30&lt;&gt;"",$G30="Occupied")),"Yes","No"))</f>
        <v/>
      </c>
      <c r="M30" s="45" t="n"/>
      <c r="N30" s="24">
        <f>IF($B30="","",IF($G30="Vacant","Vacant",IF(L30="Yes","MTM",IF(M30="","",M30))))</f>
        <v/>
      </c>
      <c r="O30" s="9" t="n"/>
    </row>
    <row r="31">
      <c r="A31" s="1" t="n"/>
      <c r="B31" s="9" t="n"/>
      <c r="C31" s="9" t="n"/>
      <c r="D31" s="14" t="n"/>
      <c r="E31" s="56" t="n"/>
      <c r="F31" s="19" t="n"/>
      <c r="G31" s="9" t="n"/>
      <c r="H31" s="10" t="n"/>
      <c r="I31" s="80">
        <f>IF($F31&gt;0,$H31/$F31,"")</f>
        <v/>
      </c>
      <c r="J31" s="10" t="n"/>
      <c r="K31" s="45" t="n"/>
      <c r="L31" s="9">
        <f>IF($B31="","",IF(AND($G31&lt;&gt;"Vacant",$M31="",OR($K31&lt;&gt;"",$G31="Occupied")),"Yes","No"))</f>
        <v/>
      </c>
      <c r="M31" s="45" t="n"/>
      <c r="N31" s="24">
        <f>IF($B31="","",IF($G31="Vacant","Vacant",IF(L31="Yes","MTM",IF(M31="","",M31))))</f>
        <v/>
      </c>
      <c r="O31" s="9" t="n"/>
    </row>
    <row r="32">
      <c r="A32" s="1" t="n"/>
      <c r="B32" s="9" t="n"/>
      <c r="C32" s="9" t="n"/>
      <c r="D32" s="14" t="n"/>
      <c r="E32" s="56" t="n"/>
      <c r="F32" s="19" t="n"/>
      <c r="G32" s="9" t="n"/>
      <c r="H32" s="10" t="n"/>
      <c r="I32" s="80">
        <f>IF($F32&gt;0,$H32/$F32,"")</f>
        <v/>
      </c>
      <c r="J32" s="10" t="n"/>
      <c r="K32" s="45" t="n"/>
      <c r="L32" s="9">
        <f>IF($B32="","",IF(AND($G32&lt;&gt;"Vacant",$M32="",OR($K32&lt;&gt;"",$G32="Occupied")),"Yes","No"))</f>
        <v/>
      </c>
      <c r="M32" s="45" t="n"/>
      <c r="N32" s="24">
        <f>IF($B32="","",IF($G32="Vacant","Vacant",IF(L32="Yes","MTM",IF(M32="","",M32))))</f>
        <v/>
      </c>
      <c r="O32" s="9" t="n"/>
    </row>
    <row r="33">
      <c r="A33" s="1" t="n"/>
      <c r="B33" s="9" t="n"/>
      <c r="C33" s="9" t="n"/>
      <c r="D33" s="14" t="n"/>
      <c r="E33" s="56" t="n"/>
      <c r="F33" s="19" t="n"/>
      <c r="G33" s="9" t="n"/>
      <c r="H33" s="10" t="n"/>
      <c r="I33" s="80">
        <f>IF($F33&gt;0,$H33/$F33,"")</f>
        <v/>
      </c>
      <c r="J33" s="10" t="n"/>
      <c r="K33" s="45" t="n"/>
      <c r="L33" s="9">
        <f>IF($B33="","",IF(AND($G33&lt;&gt;"Vacant",$M33="",OR($K33&lt;&gt;"",$G33="Occupied")),"Yes","No"))</f>
        <v/>
      </c>
      <c r="M33" s="45" t="n"/>
      <c r="N33" s="24">
        <f>IF($B33="","",IF($G33="Vacant","Vacant",IF(L33="Yes","MTM",IF(M33="","",M33))))</f>
        <v/>
      </c>
      <c r="O33" s="9" t="n"/>
    </row>
    <row r="34">
      <c r="A34" s="1" t="n"/>
      <c r="B34" s="9" t="n"/>
      <c r="C34" s="9" t="n"/>
      <c r="D34" s="14" t="n"/>
      <c r="E34" s="56" t="n"/>
      <c r="F34" s="19" t="n"/>
      <c r="G34" s="9" t="n"/>
      <c r="H34" s="10" t="n"/>
      <c r="I34" s="80">
        <f>IF($F34&gt;0,$H34/$F34,"")</f>
        <v/>
      </c>
      <c r="J34" s="10" t="n"/>
      <c r="K34" s="45" t="n"/>
      <c r="L34" s="9">
        <f>IF($B34="","",IF(AND($G34&lt;&gt;"Vacant",$M34="",OR($K34&lt;&gt;"",$G34="Occupied")),"Yes","No"))</f>
        <v/>
      </c>
      <c r="M34" s="45" t="n"/>
      <c r="N34" s="24">
        <f>IF($B34="","",IF($G34="Vacant","Vacant",IF(L34="Yes","MTM",IF(M34="","",M34))))</f>
        <v/>
      </c>
      <c r="O34" s="9" t="n"/>
    </row>
    <row r="35">
      <c r="A35" s="1" t="n"/>
      <c r="B35" s="9" t="n"/>
      <c r="C35" s="9" t="n"/>
      <c r="D35" s="14" t="n"/>
      <c r="E35" s="56" t="n"/>
      <c r="F35" s="19" t="n"/>
      <c r="G35" s="9" t="n"/>
      <c r="H35" s="10" t="n"/>
      <c r="I35" s="80">
        <f>IF($F35&gt;0,$H35/$F35,"")</f>
        <v/>
      </c>
      <c r="J35" s="10" t="n"/>
      <c r="K35" s="45" t="n"/>
      <c r="L35" s="9">
        <f>IF($B35="","",IF(AND($G35&lt;&gt;"Vacant",$M35="",OR($K35&lt;&gt;"",$G35="Occupied")),"Yes","No"))</f>
        <v/>
      </c>
      <c r="M35" s="45" t="n"/>
      <c r="N35" s="24">
        <f>IF($B35="","",IF($G35="Vacant","Vacant",IF(L35="Yes","MTM",IF(M35="","",M35))))</f>
        <v/>
      </c>
      <c r="O35" s="9" t="n"/>
    </row>
    <row r="36">
      <c r="A36" s="1" t="n"/>
      <c r="B36" s="9" t="n"/>
      <c r="C36" s="9" t="n"/>
      <c r="D36" s="14" t="n"/>
      <c r="E36" s="56" t="n"/>
      <c r="F36" s="19" t="n"/>
      <c r="G36" s="9" t="n"/>
      <c r="H36" s="10" t="n"/>
      <c r="I36" s="80">
        <f>IF($F36&gt;0,$H36/$F36,"")</f>
        <v/>
      </c>
      <c r="J36" s="10" t="n"/>
      <c r="K36" s="45" t="n"/>
      <c r="L36" s="9">
        <f>IF($B36="","",IF(AND($G36&lt;&gt;"Vacant",$M36="",OR($K36&lt;&gt;"",$G36="Occupied")),"Yes","No"))</f>
        <v/>
      </c>
      <c r="M36" s="45" t="n"/>
      <c r="N36" s="24">
        <f>IF($B36="","",IF($G36="Vacant","Vacant",IF(L36="Yes","MTM",IF(M36="","",M36))))</f>
        <v/>
      </c>
      <c r="O36" s="9" t="n"/>
    </row>
    <row r="37">
      <c r="A37" s="1" t="n"/>
      <c r="B37" s="9" t="n"/>
      <c r="C37" s="9" t="n"/>
      <c r="D37" s="14" t="n"/>
      <c r="E37" s="56" t="n"/>
      <c r="F37" s="19" t="n"/>
      <c r="G37" s="9" t="n"/>
      <c r="H37" s="10" t="n"/>
      <c r="I37" s="80">
        <f>IF($F37&gt;0,$H37/$F37,"")</f>
        <v/>
      </c>
      <c r="J37" s="10" t="n"/>
      <c r="K37" s="45" t="n"/>
      <c r="L37" s="9">
        <f>IF($B37="","",IF(AND($G37&lt;&gt;"Vacant",$M37="",OR($K37&lt;&gt;"",$G37="Occupied")),"Yes","No"))</f>
        <v/>
      </c>
      <c r="M37" s="45" t="n"/>
      <c r="N37" s="24">
        <f>IF($B37="","",IF($G37="Vacant","Vacant",IF(L37="Yes","MTM",IF(M37="","",M37))))</f>
        <v/>
      </c>
      <c r="O37" s="9" t="n"/>
    </row>
    <row r="38">
      <c r="A38" s="1" t="n"/>
      <c r="B38" s="9" t="n"/>
      <c r="C38" s="9" t="n"/>
      <c r="D38" s="14" t="n"/>
      <c r="E38" s="56" t="n"/>
      <c r="F38" s="19" t="n"/>
      <c r="G38" s="9" t="n"/>
      <c r="H38" s="10" t="n"/>
      <c r="I38" s="80">
        <f>IF($F38&gt;0,$H38/$F38,"")</f>
        <v/>
      </c>
      <c r="J38" s="10" t="n"/>
      <c r="K38" s="45" t="n"/>
      <c r="L38" s="9">
        <f>IF($B38="","",IF(AND($G38&lt;&gt;"Vacant",$M38="",OR($K38&lt;&gt;"",$G38="Occupied")),"Yes","No"))</f>
        <v/>
      </c>
      <c r="M38" s="45" t="n"/>
      <c r="N38" s="24">
        <f>IF($B38="","",IF($G38="Vacant","Vacant",IF(L38="Yes","MTM",IF(M38="","",M38))))</f>
        <v/>
      </c>
      <c r="O38" s="9" t="n"/>
    </row>
    <row r="39">
      <c r="A39" s="1" t="n"/>
      <c r="B39" s="9" t="n"/>
      <c r="C39" s="9" t="n"/>
      <c r="D39" s="14" t="n"/>
      <c r="E39" s="56" t="n"/>
      <c r="F39" s="19" t="n"/>
      <c r="G39" s="9" t="n"/>
      <c r="H39" s="10" t="n"/>
      <c r="I39" s="80">
        <f>IF($F39&gt;0,$H39/$F39,"")</f>
        <v/>
      </c>
      <c r="J39" s="10" t="n"/>
      <c r="K39" s="45" t="n"/>
      <c r="L39" s="9">
        <f>IF($B39="","",IF(AND($G39&lt;&gt;"Vacant",$M39="",OR($K39&lt;&gt;"",$G39="Occupied")),"Yes","No"))</f>
        <v/>
      </c>
      <c r="M39" s="45" t="n"/>
      <c r="N39" s="24">
        <f>IF($B39="","",IF($G39="Vacant","Vacant",IF(L39="Yes","MTM",IF(M39="","",M39))))</f>
        <v/>
      </c>
      <c r="O39" s="9" t="n"/>
    </row>
    <row r="40">
      <c r="A40" s="1" t="n"/>
      <c r="B40" s="9" t="n"/>
      <c r="C40" s="9" t="n"/>
      <c r="D40" s="14" t="n"/>
      <c r="E40" s="56" t="n"/>
      <c r="F40" s="19" t="n"/>
      <c r="G40" s="9" t="n"/>
      <c r="H40" s="10" t="n"/>
      <c r="I40" s="80">
        <f>IF($F40&gt;0,$H40/$F40,"")</f>
        <v/>
      </c>
      <c r="J40" s="10" t="n"/>
      <c r="K40" s="45" t="n"/>
      <c r="L40" s="9">
        <f>IF($B40="","",IF(AND($G40&lt;&gt;"Vacant",$M40="",OR($K40&lt;&gt;"",$G40="Occupied")),"Yes","No"))</f>
        <v/>
      </c>
      <c r="M40" s="45" t="n"/>
      <c r="N40" s="24">
        <f>IF($B40="","",IF($G40="Vacant","Vacant",IF(L40="Yes","MTM",IF(M40="","",M40))))</f>
        <v/>
      </c>
      <c r="O40" s="9" t="n"/>
    </row>
    <row r="41">
      <c r="A41" s="1" t="n"/>
      <c r="B41" s="9" t="n"/>
      <c r="C41" s="9" t="n"/>
      <c r="D41" s="14" t="n"/>
      <c r="E41" s="56" t="n"/>
      <c r="F41" s="19" t="n"/>
      <c r="G41" s="9" t="n"/>
      <c r="H41" s="10" t="n"/>
      <c r="I41" s="80">
        <f>IF($F41&gt;0,$H41/$F41,"")</f>
        <v/>
      </c>
      <c r="J41" s="10" t="n"/>
      <c r="K41" s="45" t="n"/>
      <c r="L41" s="9">
        <f>IF($B41="","",IF(AND($G41&lt;&gt;"Vacant",$M41="",OR($K41&lt;&gt;"",$G41="Occupied")),"Yes","No"))</f>
        <v/>
      </c>
      <c r="M41" s="45" t="n"/>
      <c r="N41" s="24">
        <f>IF($B41="","",IF($G41="Vacant","Vacant",IF(L41="Yes","MTM",IF(M41="","",M41))))</f>
        <v/>
      </c>
      <c r="O41" s="9" t="n"/>
    </row>
    <row r="42">
      <c r="A42" s="1" t="n"/>
      <c r="B42" s="9" t="n"/>
      <c r="C42" s="9" t="n"/>
      <c r="D42" s="14" t="n"/>
      <c r="E42" s="56" t="n"/>
      <c r="F42" s="19" t="n"/>
      <c r="G42" s="9" t="n"/>
      <c r="H42" s="10" t="n"/>
      <c r="I42" s="80">
        <f>IF($F42&gt;0,$H42/$F42,"")</f>
        <v/>
      </c>
      <c r="J42" s="10" t="n"/>
      <c r="K42" s="45" t="n"/>
      <c r="L42" s="9">
        <f>IF($B42="","",IF(AND($G42&lt;&gt;"Vacant",$M42="",OR($K42&lt;&gt;"",$G42="Occupied")),"Yes","No"))</f>
        <v/>
      </c>
      <c r="M42" s="45" t="n"/>
      <c r="N42" s="24">
        <f>IF($B42="","",IF($G42="Vacant","Vacant",IF(L42="Yes","MTM",IF(M42="","",M42))))</f>
        <v/>
      </c>
      <c r="O42" s="9" t="n"/>
    </row>
    <row r="43">
      <c r="A43" s="1" t="n"/>
      <c r="B43" s="9" t="n"/>
      <c r="C43" s="9" t="n"/>
      <c r="D43" s="14" t="n"/>
      <c r="E43" s="56" t="n"/>
      <c r="F43" s="19" t="n"/>
      <c r="G43" s="9" t="n"/>
      <c r="H43" s="10" t="n"/>
      <c r="I43" s="80">
        <f>IF($F43&gt;0,$H43/$F43,"")</f>
        <v/>
      </c>
      <c r="J43" s="10" t="n"/>
      <c r="K43" s="45" t="n"/>
      <c r="L43" s="9">
        <f>IF($B43="","",IF(AND($G43&lt;&gt;"Vacant",$M43="",OR($K43&lt;&gt;"",$G43="Occupied")),"Yes","No"))</f>
        <v/>
      </c>
      <c r="M43" s="45" t="n"/>
      <c r="N43" s="24">
        <f>IF($B43="","",IF($G43="Vacant","Vacant",IF(L43="Yes","MTM",IF(M43="","",M43))))</f>
        <v/>
      </c>
      <c r="O43" s="9" t="n"/>
    </row>
    <row r="44">
      <c r="A44" s="1" t="n"/>
      <c r="B44" s="9" t="n"/>
      <c r="C44" s="9" t="n"/>
      <c r="D44" s="14" t="n"/>
      <c r="E44" s="56" t="n"/>
      <c r="F44" s="19" t="n"/>
      <c r="G44" s="9" t="n"/>
      <c r="H44" s="10" t="n"/>
      <c r="I44" s="80">
        <f>IF($F44&gt;0,$H44/$F44,"")</f>
        <v/>
      </c>
      <c r="J44" s="10" t="n"/>
      <c r="K44" s="45" t="n"/>
      <c r="L44" s="9">
        <f>IF($B44="","",IF(AND($G44&lt;&gt;"Vacant",$M44="",OR($K44&lt;&gt;"",$G44="Occupied")),"Yes","No"))</f>
        <v/>
      </c>
      <c r="M44" s="45" t="n"/>
      <c r="N44" s="24">
        <f>IF($B44="","",IF($G44="Vacant","Vacant",IF(L44="Yes","MTM",IF(M44="","",M44))))</f>
        <v/>
      </c>
      <c r="O44" s="9" t="n"/>
    </row>
    <row r="45">
      <c r="A45" s="1" t="n"/>
      <c r="B45" s="9" t="n"/>
      <c r="C45" s="9" t="n"/>
      <c r="D45" s="14" t="n"/>
      <c r="E45" s="56" t="n"/>
      <c r="F45" s="19" t="n"/>
      <c r="G45" s="9" t="n"/>
      <c r="H45" s="10" t="n"/>
      <c r="I45" s="80">
        <f>IF($F45&gt;0,$H45/$F45,"")</f>
        <v/>
      </c>
      <c r="J45" s="10" t="n"/>
      <c r="K45" s="45" t="n"/>
      <c r="L45" s="9">
        <f>IF($B45="","",IF(AND($G45&lt;&gt;"Vacant",$M45="",OR($K45&lt;&gt;"",$G45="Occupied")),"Yes","No"))</f>
        <v/>
      </c>
      <c r="M45" s="45" t="n"/>
      <c r="N45" s="24">
        <f>IF($B45="","",IF($G45="Vacant","Vacant",IF(L45="Yes","MTM",IF(M45="","",M45))))</f>
        <v/>
      </c>
      <c r="O45" s="9" t="n"/>
    </row>
    <row r="46">
      <c r="A46" s="1" t="n"/>
      <c r="B46" s="9" t="n"/>
      <c r="C46" s="9" t="n"/>
      <c r="D46" s="14" t="n"/>
      <c r="E46" s="56" t="n"/>
      <c r="F46" s="19" t="n"/>
      <c r="G46" s="9" t="n"/>
      <c r="H46" s="10" t="n"/>
      <c r="I46" s="80">
        <f>IF($F46&gt;0,$H46/$F46,"")</f>
        <v/>
      </c>
      <c r="J46" s="10" t="n"/>
      <c r="K46" s="45" t="n"/>
      <c r="L46" s="9">
        <f>IF($B46="","",IF(AND($G46&lt;&gt;"Vacant",$M46="",OR($K46&lt;&gt;"",$G46="Occupied")),"Yes","No"))</f>
        <v/>
      </c>
      <c r="M46" s="45" t="n"/>
      <c r="N46" s="24">
        <f>IF($B46="","",IF($G46="Vacant","Vacant",IF(L46="Yes","MTM",IF(M46="","",M46))))</f>
        <v/>
      </c>
      <c r="O46" s="9" t="n"/>
    </row>
    <row r="47">
      <c r="A47" s="1" t="n"/>
      <c r="B47" s="9" t="n"/>
      <c r="C47" s="9" t="n"/>
      <c r="D47" s="14" t="n"/>
      <c r="E47" s="56" t="n"/>
      <c r="F47" s="19" t="n"/>
      <c r="G47" s="9" t="n"/>
      <c r="H47" s="10" t="n"/>
      <c r="I47" s="80">
        <f>IF($F47&gt;0,$H47/$F47,"")</f>
        <v/>
      </c>
      <c r="J47" s="10" t="n"/>
      <c r="K47" s="45" t="n"/>
      <c r="L47" s="9">
        <f>IF($B47="","",IF(AND($G47&lt;&gt;"Vacant",$M47="",OR($K47&lt;&gt;"",$G47="Occupied")),"Yes","No"))</f>
        <v/>
      </c>
      <c r="M47" s="45" t="n"/>
      <c r="N47" s="24">
        <f>IF($B47="","",IF($G47="Vacant","Vacant",IF(L47="Yes","MTM",IF(M47="","",M47))))</f>
        <v/>
      </c>
      <c r="O47" s="9" t="n"/>
    </row>
    <row r="48">
      <c r="A48" s="1" t="n"/>
      <c r="B48" s="9" t="n"/>
      <c r="C48" s="9" t="n"/>
      <c r="D48" s="14" t="n"/>
      <c r="E48" s="56" t="n"/>
      <c r="F48" s="19" t="n"/>
      <c r="G48" s="9" t="n"/>
      <c r="H48" s="10" t="n"/>
      <c r="I48" s="80">
        <f>IF($F48&gt;0,$H48/$F48,"")</f>
        <v/>
      </c>
      <c r="J48" s="10" t="n"/>
      <c r="K48" s="45" t="n"/>
      <c r="L48" s="9">
        <f>IF($B48="","",IF(AND($G48&lt;&gt;"Vacant",$M48="",OR($K48&lt;&gt;"",$G48="Occupied")),"Yes","No"))</f>
        <v/>
      </c>
      <c r="M48" s="45" t="n"/>
      <c r="N48" s="24">
        <f>IF($B48="","",IF($G48="Vacant","Vacant",IF(L48="Yes","MTM",IF(M48="","",M48))))</f>
        <v/>
      </c>
      <c r="O48" s="9" t="n"/>
    </row>
    <row r="49">
      <c r="A49" s="1" t="n"/>
      <c r="B49" s="9" t="n"/>
      <c r="C49" s="9" t="n"/>
      <c r="D49" s="14" t="n"/>
      <c r="E49" s="56" t="n"/>
      <c r="F49" s="19" t="n"/>
      <c r="G49" s="9" t="n"/>
      <c r="H49" s="10" t="n"/>
      <c r="I49" s="80">
        <f>IF($F49&gt;0,$H49/$F49,"")</f>
        <v/>
      </c>
      <c r="J49" s="10" t="n"/>
      <c r="K49" s="45" t="n"/>
      <c r="L49" s="9">
        <f>IF($B49="","",IF(AND($G49&lt;&gt;"Vacant",$M49="",OR($K49&lt;&gt;"",$G49="Occupied")),"Yes","No"))</f>
        <v/>
      </c>
      <c r="M49" s="45" t="n"/>
      <c r="N49" s="24">
        <f>IF($B49="","",IF($G49="Vacant","Vacant",IF(L49="Yes","MTM",IF(M49="","",M49))))</f>
        <v/>
      </c>
      <c r="O49" s="9" t="n"/>
    </row>
    <row r="50">
      <c r="A50" s="1" t="n"/>
      <c r="B50" s="9" t="n"/>
      <c r="C50" s="9" t="n"/>
      <c r="D50" s="14" t="n"/>
      <c r="E50" s="56" t="n"/>
      <c r="F50" s="19" t="n"/>
      <c r="G50" s="9" t="n"/>
      <c r="H50" s="10" t="n"/>
      <c r="I50" s="80">
        <f>IF($F50&gt;0,$H50/$F50,"")</f>
        <v/>
      </c>
      <c r="J50" s="10" t="n"/>
      <c r="K50" s="45" t="n"/>
      <c r="L50" s="9">
        <f>IF($B50="","",IF(AND($G50&lt;&gt;"Vacant",$M50="",OR($K50&lt;&gt;"",$G50="Occupied")),"Yes","No"))</f>
        <v/>
      </c>
      <c r="M50" s="45" t="n"/>
      <c r="N50" s="24">
        <f>IF($B50="","",IF($G50="Vacant","Vacant",IF(L50="Yes","MTM",IF(M50="","",M50))))</f>
        <v/>
      </c>
      <c r="O50" s="9" t="n"/>
    </row>
    <row r="51">
      <c r="A51" s="1" t="n"/>
      <c r="B51" s="9" t="n"/>
      <c r="C51" s="9" t="n"/>
      <c r="D51" s="14" t="n"/>
      <c r="E51" s="56" t="n"/>
      <c r="F51" s="19" t="n"/>
      <c r="G51" s="9" t="n"/>
      <c r="H51" s="10" t="n"/>
      <c r="I51" s="80">
        <f>IF($F51&gt;0,$H51/$F51,"")</f>
        <v/>
      </c>
      <c r="J51" s="10" t="n"/>
      <c r="K51" s="45" t="n"/>
      <c r="L51" s="9">
        <f>IF($B51="","",IF(AND($G51&lt;&gt;"Vacant",$M51="",OR($K51&lt;&gt;"",$G51="Occupied")),"Yes","No"))</f>
        <v/>
      </c>
      <c r="M51" s="45" t="n"/>
      <c r="N51" s="24">
        <f>IF($B51="","",IF($G51="Vacant","Vacant",IF(L51="Yes","MTM",IF(M51="","",M51))))</f>
        <v/>
      </c>
      <c r="O51" s="9" t="n"/>
    </row>
    <row r="52">
      <c r="A52" s="1" t="n"/>
      <c r="B52" s="9" t="n"/>
      <c r="C52" s="9" t="n"/>
      <c r="D52" s="14" t="n"/>
      <c r="E52" s="56" t="n"/>
      <c r="F52" s="19" t="n"/>
      <c r="G52" s="9" t="n"/>
      <c r="H52" s="10" t="n"/>
      <c r="I52" s="80">
        <f>IF($F52&gt;0,$H52/$F52,"")</f>
        <v/>
      </c>
      <c r="J52" s="10" t="n"/>
      <c r="K52" s="45" t="n"/>
      <c r="L52" s="9">
        <f>IF($B52="","",IF(AND($G52&lt;&gt;"Vacant",$M52="",OR($K52&lt;&gt;"",$G52="Occupied")),"Yes","No"))</f>
        <v/>
      </c>
      <c r="M52" s="45" t="n"/>
      <c r="N52" s="24">
        <f>IF($B52="","",IF($G52="Vacant","Vacant",IF(L52="Yes","MTM",IF(M52="","",M52))))</f>
        <v/>
      </c>
      <c r="O52" s="9" t="n"/>
    </row>
    <row r="53">
      <c r="A53" s="1" t="n"/>
      <c r="B53" s="9" t="n"/>
      <c r="C53" s="9" t="n"/>
      <c r="D53" s="14" t="n"/>
      <c r="E53" s="56" t="n"/>
      <c r="F53" s="19" t="n"/>
      <c r="G53" s="9" t="n"/>
      <c r="H53" s="10" t="n"/>
      <c r="I53" s="80">
        <f>IF($F53&gt;0,$H53/$F53,"")</f>
        <v/>
      </c>
      <c r="J53" s="10" t="n"/>
      <c r="K53" s="45" t="n"/>
      <c r="L53" s="9">
        <f>IF($B53="","",IF(AND($G53&lt;&gt;"Vacant",$M53="",OR($K53&lt;&gt;"",$G53="Occupied")),"Yes","No"))</f>
        <v/>
      </c>
      <c r="M53" s="45" t="n"/>
      <c r="N53" s="24">
        <f>IF($B53="","",IF($G53="Vacant","Vacant",IF(L53="Yes","MTM",IF(M53="","",M53))))</f>
        <v/>
      </c>
      <c r="O53" s="9" t="n"/>
    </row>
    <row r="54">
      <c r="A54" s="1" t="n"/>
      <c r="B54" s="9" t="n"/>
      <c r="C54" s="9" t="n"/>
      <c r="D54" s="14" t="n"/>
      <c r="E54" s="56" t="n"/>
      <c r="F54" s="19" t="n"/>
      <c r="G54" s="9" t="n"/>
      <c r="H54" s="10" t="n"/>
      <c r="I54" s="80">
        <f>IF($F54&gt;0,$H54/$F54,"")</f>
        <v/>
      </c>
      <c r="J54" s="10" t="n"/>
      <c r="K54" s="45" t="n"/>
      <c r="L54" s="9">
        <f>IF($B54="","",IF(AND($G54&lt;&gt;"Vacant",$M54="",OR($K54&lt;&gt;"",$G54="Occupied")),"Yes","No"))</f>
        <v/>
      </c>
      <c r="M54" s="45" t="n"/>
      <c r="N54" s="24">
        <f>IF($B54="","",IF($G54="Vacant","Vacant",IF(L54="Yes","MTM",IF(M54="","",M54))))</f>
        <v/>
      </c>
      <c r="O54" s="9" t="n"/>
    </row>
    <row r="55">
      <c r="A55" s="1" t="n"/>
      <c r="B55" s="9" t="n"/>
      <c r="C55" s="9" t="n"/>
      <c r="D55" s="14" t="n"/>
      <c r="E55" s="56" t="n"/>
      <c r="F55" s="19" t="n"/>
      <c r="G55" s="9" t="n"/>
      <c r="H55" s="10" t="n"/>
      <c r="I55" s="80">
        <f>IF($F55&gt;0,$H55/$F55,"")</f>
        <v/>
      </c>
      <c r="J55" s="10" t="n"/>
      <c r="K55" s="45" t="n"/>
      <c r="L55" s="9">
        <f>IF($B55="","",IF(AND($G55&lt;&gt;"Vacant",$M55="",OR($K55&lt;&gt;"",$G55="Occupied")),"Yes","No"))</f>
        <v/>
      </c>
      <c r="M55" s="45" t="n"/>
      <c r="N55" s="24">
        <f>IF($B55="","",IF($G55="Vacant","Vacant",IF(L55="Yes","MTM",IF(M55="","",M55))))</f>
        <v/>
      </c>
      <c r="O55" s="9" t="n"/>
    </row>
    <row r="56">
      <c r="A56" s="1" t="n"/>
      <c r="B56" s="9" t="n"/>
      <c r="C56" s="9" t="n"/>
      <c r="D56" s="14" t="n"/>
      <c r="E56" s="56" t="n"/>
      <c r="F56" s="19" t="n"/>
      <c r="G56" s="9" t="n"/>
      <c r="H56" s="10" t="n"/>
      <c r="I56" s="80">
        <f>IF($F56&gt;0,$H56/$F56,"")</f>
        <v/>
      </c>
      <c r="J56" s="10" t="n"/>
      <c r="K56" s="45" t="n"/>
      <c r="L56" s="9">
        <f>IF($B56="","",IF(AND($G56&lt;&gt;"Vacant",$M56="",OR($K56&lt;&gt;"",$G56="Occupied")),"Yes","No"))</f>
        <v/>
      </c>
      <c r="M56" s="45" t="n"/>
      <c r="N56" s="24">
        <f>IF($B56="","",IF($G56="Vacant","Vacant",IF(L56="Yes","MTM",IF(M56="","",M56))))</f>
        <v/>
      </c>
      <c r="O56" s="9" t="n"/>
    </row>
    <row r="57">
      <c r="A57" s="1" t="n"/>
      <c r="B57" s="9" t="n"/>
      <c r="C57" s="9" t="n"/>
      <c r="D57" s="14" t="n"/>
      <c r="E57" s="56" t="n"/>
      <c r="F57" s="19" t="n"/>
      <c r="G57" s="9" t="n"/>
      <c r="H57" s="10" t="n"/>
      <c r="I57" s="80">
        <f>IF($F57&gt;0,$H57/$F57,"")</f>
        <v/>
      </c>
      <c r="J57" s="10" t="n"/>
      <c r="K57" s="45" t="n"/>
      <c r="L57" s="9">
        <f>IF($B57="","",IF(AND($G57&lt;&gt;"Vacant",$M57="",OR($K57&lt;&gt;"",$G57="Occupied")),"Yes","No"))</f>
        <v/>
      </c>
      <c r="M57" s="45" t="n"/>
      <c r="N57" s="24">
        <f>IF($B57="","",IF($G57="Vacant","Vacant",IF(L57="Yes","MTM",IF(M57="","",M57))))</f>
        <v/>
      </c>
      <c r="O57" s="9" t="n"/>
    </row>
    <row r="58">
      <c r="A58" s="1" t="n"/>
      <c r="B58" s="9" t="n"/>
      <c r="C58" s="9" t="n"/>
      <c r="D58" s="14" t="n"/>
      <c r="E58" s="56" t="n"/>
      <c r="F58" s="19" t="n"/>
      <c r="G58" s="9" t="n"/>
      <c r="H58" s="10" t="n"/>
      <c r="I58" s="80">
        <f>IF($F58&gt;0,$H58/$F58,"")</f>
        <v/>
      </c>
      <c r="J58" s="10" t="n"/>
      <c r="K58" s="45" t="n"/>
      <c r="L58" s="9">
        <f>IF($B58="","",IF(AND($G58&lt;&gt;"Vacant",$M58="",OR($K58&lt;&gt;"",$G58="Occupied")),"Yes","No"))</f>
        <v/>
      </c>
      <c r="M58" s="45" t="n"/>
      <c r="N58" s="24">
        <f>IF($B58="","",IF($G58="Vacant","Vacant",IF(L58="Yes","MTM",IF(M58="","",M58))))</f>
        <v/>
      </c>
      <c r="O58" s="9" t="n"/>
    </row>
    <row r="59">
      <c r="A59" s="1" t="n"/>
      <c r="B59" s="9" t="n"/>
      <c r="C59" s="9" t="n"/>
      <c r="D59" s="14" t="n"/>
      <c r="E59" s="56" t="n"/>
      <c r="F59" s="19" t="n"/>
      <c r="G59" s="9" t="n"/>
      <c r="H59" s="10" t="n"/>
      <c r="I59" s="80">
        <f>IF($F59&gt;0,$H59/$F59,"")</f>
        <v/>
      </c>
      <c r="J59" s="10" t="n"/>
      <c r="K59" s="45" t="n"/>
      <c r="L59" s="9">
        <f>IF($B59="","",IF(AND($G59&lt;&gt;"Vacant",$M59="",OR($K59&lt;&gt;"",$G59="Occupied")),"Yes","No"))</f>
        <v/>
      </c>
      <c r="M59" s="45" t="n"/>
      <c r="N59" s="24">
        <f>IF($B59="","",IF($G59="Vacant","Vacant",IF(L59="Yes","MTM",IF(M59="","",M59))))</f>
        <v/>
      </c>
      <c r="O59" s="9" t="n"/>
    </row>
    <row r="60">
      <c r="A60" s="1" t="n"/>
      <c r="B60" s="9" t="n"/>
      <c r="C60" s="9" t="n"/>
      <c r="D60" s="14" t="n"/>
      <c r="E60" s="56" t="n"/>
      <c r="F60" s="19" t="n"/>
      <c r="G60" s="9" t="n"/>
      <c r="H60" s="10" t="n"/>
      <c r="I60" s="80">
        <f>IF($F60&gt;0,$H60/$F60,"")</f>
        <v/>
      </c>
      <c r="J60" s="10" t="n"/>
      <c r="K60" s="45" t="n"/>
      <c r="L60" s="9">
        <f>IF($B60="","",IF(AND($G60&lt;&gt;"Vacant",$M60="",OR($K60&lt;&gt;"",$G60="Occupied")),"Yes","No"))</f>
        <v/>
      </c>
      <c r="M60" s="45" t="n"/>
      <c r="N60" s="24">
        <f>IF($B60="","",IF($G60="Vacant","Vacant",IF(L60="Yes","MTM",IF(M60="","",M60))))</f>
        <v/>
      </c>
      <c r="O60" s="9" t="n"/>
    </row>
    <row r="61">
      <c r="A61" s="1" t="n"/>
      <c r="B61" s="9" t="n"/>
      <c r="C61" s="9" t="n"/>
      <c r="D61" s="14" t="n"/>
      <c r="E61" s="56" t="n"/>
      <c r="F61" s="19" t="n"/>
      <c r="G61" s="9" t="n"/>
      <c r="H61" s="10" t="n"/>
      <c r="I61" s="80">
        <f>IF($F61&gt;0,$H61/$F61,"")</f>
        <v/>
      </c>
      <c r="J61" s="10" t="n"/>
      <c r="K61" s="45" t="n"/>
      <c r="L61" s="9">
        <f>IF($B61="","",IF(AND($G61&lt;&gt;"Vacant",$M61="",OR($K61&lt;&gt;"",$G61="Occupied")),"Yes","No"))</f>
        <v/>
      </c>
      <c r="M61" s="45" t="n"/>
      <c r="N61" s="24">
        <f>IF($B61="","",IF($G61="Vacant","Vacant",IF(L61="Yes","MTM",IF(M61="","",M61))))</f>
        <v/>
      </c>
      <c r="O61" s="9" t="n"/>
    </row>
    <row r="62">
      <c r="A62" s="1" t="n"/>
      <c r="B62" s="9" t="n"/>
      <c r="C62" s="9" t="n"/>
      <c r="D62" s="14" t="n"/>
      <c r="E62" s="56" t="n"/>
      <c r="F62" s="19" t="n"/>
      <c r="G62" s="9" t="n"/>
      <c r="H62" s="10" t="n"/>
      <c r="I62" s="80">
        <f>IF($F62&gt;0,$H62/$F62,"")</f>
        <v/>
      </c>
      <c r="J62" s="10" t="n"/>
      <c r="K62" s="45" t="n"/>
      <c r="L62" s="9">
        <f>IF($B62="","",IF(AND($G62&lt;&gt;"Vacant",$M62="",OR($K62&lt;&gt;"",$G62="Occupied")),"Yes","No"))</f>
        <v/>
      </c>
      <c r="M62" s="45" t="n"/>
      <c r="N62" s="24">
        <f>IF($B62="","",IF($G62="Vacant","Vacant",IF(L62="Yes","MTM",IF(M62="","",M62))))</f>
        <v/>
      </c>
      <c r="O62" s="9" t="n"/>
    </row>
    <row r="63">
      <c r="A63" s="1" t="n"/>
      <c r="B63" s="9" t="n"/>
      <c r="C63" s="9" t="n"/>
      <c r="D63" s="14" t="n"/>
      <c r="E63" s="56" t="n"/>
      <c r="F63" s="19" t="n"/>
      <c r="G63" s="9" t="n"/>
      <c r="H63" s="10" t="n"/>
      <c r="I63" s="80">
        <f>IF($F63&gt;0,$H63/$F63,"")</f>
        <v/>
      </c>
      <c r="J63" s="10" t="n"/>
      <c r="K63" s="45" t="n"/>
      <c r="L63" s="9">
        <f>IF($B63="","",IF(AND($G63&lt;&gt;"Vacant",$M63="",OR($K63&lt;&gt;"",$G63="Occupied")),"Yes","No"))</f>
        <v/>
      </c>
      <c r="M63" s="45" t="n"/>
      <c r="N63" s="24">
        <f>IF($B63="","",IF($G63="Vacant","Vacant",IF(L63="Yes","MTM",IF(M63="","",M63))))</f>
        <v/>
      </c>
      <c r="O63" s="9" t="n"/>
    </row>
    <row r="64">
      <c r="A64" s="1" t="n"/>
      <c r="B64" s="9" t="n"/>
      <c r="C64" s="9" t="n"/>
      <c r="D64" s="14" t="n"/>
      <c r="E64" s="56" t="n"/>
      <c r="F64" s="19" t="n"/>
      <c r="G64" s="9" t="n"/>
      <c r="H64" s="10" t="n"/>
      <c r="I64" s="80">
        <f>IF($F64&gt;0,$H64/$F64,"")</f>
        <v/>
      </c>
      <c r="J64" s="10" t="n"/>
      <c r="K64" s="45" t="n"/>
      <c r="L64" s="9">
        <f>IF($B64="","",IF(AND($G64&lt;&gt;"Vacant",$M64="",OR($K64&lt;&gt;"",$G64="Occupied")),"Yes","No"))</f>
        <v/>
      </c>
      <c r="M64" s="45" t="n"/>
      <c r="N64" s="24">
        <f>IF($B64="","",IF($G64="Vacant","Vacant",IF(L64="Yes","MTM",IF(M64="","",M64))))</f>
        <v/>
      </c>
      <c r="O64" s="9" t="n"/>
    </row>
    <row r="65">
      <c r="A65" s="1" t="n"/>
      <c r="B65" s="9" t="n"/>
      <c r="C65" s="9" t="n"/>
      <c r="D65" s="14" t="n"/>
      <c r="E65" s="56" t="n"/>
      <c r="F65" s="19" t="n"/>
      <c r="G65" s="9" t="n"/>
      <c r="H65" s="10" t="n"/>
      <c r="I65" s="80">
        <f>IF($F65&gt;0,$H65/$F65,"")</f>
        <v/>
      </c>
      <c r="J65" s="10" t="n"/>
      <c r="K65" s="45" t="n"/>
      <c r="L65" s="9">
        <f>IF($B65="","",IF(AND($G65&lt;&gt;"Vacant",$M65="",OR($K65&lt;&gt;"",$G65="Occupied")),"Yes","No"))</f>
        <v/>
      </c>
      <c r="M65" s="45" t="n"/>
      <c r="N65" s="24">
        <f>IF($B65="","",IF($G65="Vacant","Vacant",IF(L65="Yes","MTM",IF(M65="","",M65))))</f>
        <v/>
      </c>
      <c r="O65" s="9" t="n"/>
    </row>
    <row r="66">
      <c r="A66" s="1" t="n"/>
      <c r="B66" s="9" t="n"/>
      <c r="C66" s="9" t="n"/>
      <c r="D66" s="14" t="n"/>
      <c r="E66" s="56" t="n"/>
      <c r="F66" s="19" t="n"/>
      <c r="G66" s="9" t="n"/>
      <c r="H66" s="10" t="n"/>
      <c r="I66" s="80">
        <f>IF($F66&gt;0,$H66/$F66,"")</f>
        <v/>
      </c>
      <c r="J66" s="10" t="n"/>
      <c r="K66" s="45" t="n"/>
      <c r="L66" s="9">
        <f>IF($B66="","",IF(AND($G66&lt;&gt;"Vacant",$M66="",OR($K66&lt;&gt;"",$G66="Occupied")),"Yes","No"))</f>
        <v/>
      </c>
      <c r="M66" s="45" t="n"/>
      <c r="N66" s="24">
        <f>IF($B66="","",IF($G66="Vacant","Vacant",IF(L66="Yes","MTM",IF(M66="","",M66))))</f>
        <v/>
      </c>
      <c r="O66" s="9" t="n"/>
    </row>
    <row r="67">
      <c r="A67" s="1" t="n"/>
      <c r="B67" s="9" t="n"/>
      <c r="C67" s="9" t="n"/>
      <c r="D67" s="14" t="n"/>
      <c r="E67" s="56" t="n"/>
      <c r="F67" s="19" t="n"/>
      <c r="G67" s="9" t="n"/>
      <c r="H67" s="10" t="n"/>
      <c r="I67" s="80">
        <f>IF($F67&gt;0,$H67/$F67,"")</f>
        <v/>
      </c>
      <c r="J67" s="10" t="n"/>
      <c r="K67" s="45" t="n"/>
      <c r="L67" s="9">
        <f>IF($B67="","",IF(AND($G67&lt;&gt;"Vacant",$M67="",OR($K67&lt;&gt;"",$G67="Occupied")),"Yes","No"))</f>
        <v/>
      </c>
      <c r="M67" s="45" t="n"/>
      <c r="N67" s="24">
        <f>IF($B67="","",IF($G67="Vacant","Vacant",IF(L67="Yes","MTM",IF(M67="","",M67))))</f>
        <v/>
      </c>
      <c r="O67" s="9" t="n"/>
    </row>
    <row r="68">
      <c r="A68" s="1" t="n"/>
      <c r="B68" s="9" t="n"/>
      <c r="C68" s="9" t="n"/>
      <c r="D68" s="14" t="n"/>
      <c r="E68" s="56" t="n"/>
      <c r="F68" s="19" t="n"/>
      <c r="G68" s="9" t="n"/>
      <c r="H68" s="10" t="n"/>
      <c r="I68" s="80">
        <f>IF($F68&gt;0,$H68/$F68,"")</f>
        <v/>
      </c>
      <c r="J68" s="10" t="n"/>
      <c r="K68" s="45" t="n"/>
      <c r="L68" s="9">
        <f>IF($B68="","",IF(AND($G68&lt;&gt;"Vacant",$M68="",OR($K68&lt;&gt;"",$G68="Occupied")),"Yes","No"))</f>
        <v/>
      </c>
      <c r="M68" s="45" t="n"/>
      <c r="N68" s="24">
        <f>IF($B68="","",IF($G68="Vacant","Vacant",IF(L68="Yes","MTM",IF(M68="","",M68))))</f>
        <v/>
      </c>
      <c r="O68" s="9" t="n"/>
    </row>
    <row r="69">
      <c r="A69" s="1" t="n"/>
      <c r="B69" s="9" t="n"/>
      <c r="C69" s="9" t="n"/>
      <c r="D69" s="14" t="n"/>
      <c r="E69" s="56" t="n"/>
      <c r="F69" s="19" t="n"/>
      <c r="G69" s="9" t="n"/>
      <c r="H69" s="10" t="n"/>
      <c r="I69" s="80">
        <f>IF($F69&gt;0,$H69/$F69,"")</f>
        <v/>
      </c>
      <c r="J69" s="10" t="n"/>
      <c r="K69" s="45" t="n"/>
      <c r="L69" s="9">
        <f>IF($B69="","",IF(AND($G69&lt;&gt;"Vacant",$M69="",OR($K69&lt;&gt;"",$G69="Occupied")),"Yes","No"))</f>
        <v/>
      </c>
      <c r="M69" s="45" t="n"/>
      <c r="N69" s="24">
        <f>IF($B69="","",IF($G69="Vacant","Vacant",IF(L69="Yes","MTM",IF(M69="","",M69))))</f>
        <v/>
      </c>
      <c r="O69" s="9" t="n"/>
    </row>
    <row r="70">
      <c r="A70" s="1" t="n"/>
      <c r="B70" s="9" t="n"/>
      <c r="C70" s="9" t="n"/>
      <c r="D70" s="14" t="n"/>
      <c r="E70" s="56" t="n"/>
      <c r="F70" s="19" t="n"/>
      <c r="G70" s="9" t="n"/>
      <c r="H70" s="10" t="n"/>
      <c r="I70" s="80">
        <f>IF($F70&gt;0,$H70/$F70,"")</f>
        <v/>
      </c>
      <c r="J70" s="10" t="n"/>
      <c r="K70" s="45" t="n"/>
      <c r="L70" s="9">
        <f>IF($B70="","",IF(AND($G70&lt;&gt;"Vacant",$M70="",OR($K70&lt;&gt;"",$G70="Occupied")),"Yes","No"))</f>
        <v/>
      </c>
      <c r="M70" s="45" t="n"/>
      <c r="N70" s="24">
        <f>IF($B70="","",IF($G70="Vacant","Vacant",IF(L70="Yes","MTM",IF(M70="","",M70))))</f>
        <v/>
      </c>
      <c r="O70" s="9" t="n"/>
    </row>
    <row r="71">
      <c r="A71" s="1" t="n"/>
      <c r="B71" s="9" t="n"/>
      <c r="C71" s="9" t="n"/>
      <c r="D71" s="14" t="n"/>
      <c r="E71" s="56" t="n"/>
      <c r="F71" s="19" t="n"/>
      <c r="G71" s="9" t="n"/>
      <c r="H71" s="10" t="n"/>
      <c r="I71" s="80">
        <f>IF($F71&gt;0,$H71/$F71,"")</f>
        <v/>
      </c>
      <c r="J71" s="10" t="n"/>
      <c r="K71" s="45" t="n"/>
      <c r="L71" s="9">
        <f>IF($B71="","",IF(AND($G71&lt;&gt;"Vacant",$M71="",OR($K71&lt;&gt;"",$G71="Occupied")),"Yes","No"))</f>
        <v/>
      </c>
      <c r="M71" s="45" t="n"/>
      <c r="N71" s="24">
        <f>IF($B71="","",IF($G71="Vacant","Vacant",IF(L71="Yes","MTM",IF(M71="","",M71))))</f>
        <v/>
      </c>
      <c r="O71" s="9" t="n"/>
    </row>
    <row r="72">
      <c r="A72" s="1" t="n"/>
      <c r="B72" s="9" t="n"/>
      <c r="C72" s="9" t="n"/>
      <c r="D72" s="14" t="n"/>
      <c r="E72" s="56" t="n"/>
      <c r="F72" s="19" t="n"/>
      <c r="G72" s="9" t="n"/>
      <c r="H72" s="10" t="n"/>
      <c r="I72" s="80">
        <f>IF($F72&gt;0,$H72/$F72,"")</f>
        <v/>
      </c>
      <c r="J72" s="10" t="n"/>
      <c r="K72" s="45" t="n"/>
      <c r="L72" s="9">
        <f>IF($B72="","",IF(AND($G72&lt;&gt;"Vacant",$M72="",OR($K72&lt;&gt;"",$G72="Occupied")),"Yes","No"))</f>
        <v/>
      </c>
      <c r="M72" s="45" t="n"/>
      <c r="N72" s="24">
        <f>IF($B72="","",IF($G72="Vacant","Vacant",IF(L72="Yes","MTM",IF(M72="","",M72))))</f>
        <v/>
      </c>
      <c r="O72" s="9" t="n"/>
    </row>
    <row r="73">
      <c r="A73" s="1" t="n"/>
      <c r="B73" s="9" t="n"/>
      <c r="C73" s="9" t="n"/>
      <c r="D73" s="14" t="n"/>
      <c r="E73" s="56" t="n"/>
      <c r="F73" s="19" t="n"/>
      <c r="G73" s="9" t="n"/>
      <c r="H73" s="10" t="n"/>
      <c r="I73" s="80">
        <f>IF($F73&gt;0,$H73/$F73,"")</f>
        <v/>
      </c>
      <c r="J73" s="10" t="n"/>
      <c r="K73" s="45" t="n"/>
      <c r="L73" s="9">
        <f>IF($B73="","",IF(AND($G73&lt;&gt;"Vacant",$M73="",OR($K73&lt;&gt;"",$G73="Occupied")),"Yes","No"))</f>
        <v/>
      </c>
      <c r="M73" s="45" t="n"/>
      <c r="N73" s="24">
        <f>IF($B73="","",IF($G73="Vacant","Vacant",IF(L73="Yes","MTM",IF(M73="","",M73))))</f>
        <v/>
      </c>
      <c r="O73" s="9" t="n"/>
    </row>
    <row r="74">
      <c r="A74" s="1" t="n"/>
      <c r="B74" s="9" t="n"/>
      <c r="C74" s="9" t="n"/>
      <c r="D74" s="14" t="n"/>
      <c r="E74" s="56" t="n"/>
      <c r="F74" s="19" t="n"/>
      <c r="G74" s="9" t="n"/>
      <c r="H74" s="10" t="n"/>
      <c r="I74" s="80">
        <f>IF($F74&gt;0,$H74/$F74,"")</f>
        <v/>
      </c>
      <c r="J74" s="10" t="n"/>
      <c r="K74" s="45" t="n"/>
      <c r="L74" s="9">
        <f>IF($B74="","",IF(AND($G74&lt;&gt;"Vacant",$M74="",OR($K74&lt;&gt;"",$G74="Occupied")),"Yes","No"))</f>
        <v/>
      </c>
      <c r="M74" s="45" t="n"/>
      <c r="N74" s="24">
        <f>IF($B74="","",IF($G74="Vacant","Vacant",IF(L74="Yes","MTM",IF(M74="","",M74))))</f>
        <v/>
      </c>
      <c r="O74" s="9" t="n"/>
    </row>
    <row r="75">
      <c r="A75" s="1" t="n"/>
      <c r="B75" s="9" t="n"/>
      <c r="C75" s="9" t="n"/>
      <c r="D75" s="14" t="n"/>
      <c r="E75" s="56" t="n"/>
      <c r="F75" s="19" t="n"/>
      <c r="G75" s="9" t="n"/>
      <c r="H75" s="10" t="n"/>
      <c r="I75" s="80">
        <f>IF($F75&gt;0,$H75/$F75,"")</f>
        <v/>
      </c>
      <c r="J75" s="10" t="n"/>
      <c r="K75" s="45" t="n"/>
      <c r="L75" s="9">
        <f>IF($B75="","",IF(AND($G75&lt;&gt;"Vacant",$M75="",OR($K75&lt;&gt;"",$G75="Occupied")),"Yes","No"))</f>
        <v/>
      </c>
      <c r="M75" s="45" t="n"/>
      <c r="N75" s="24">
        <f>IF($B75="","",IF($G75="Vacant","Vacant",IF(L75="Yes","MTM",IF(M75="","",M75))))</f>
        <v/>
      </c>
      <c r="O75" s="9" t="n"/>
    </row>
    <row r="76">
      <c r="A76" s="1" t="n"/>
      <c r="B76" s="9" t="n"/>
      <c r="C76" s="9" t="n"/>
      <c r="D76" s="14" t="n"/>
      <c r="E76" s="56" t="n"/>
      <c r="F76" s="19" t="n"/>
      <c r="G76" s="9" t="n"/>
      <c r="H76" s="10" t="n"/>
      <c r="I76" s="80">
        <f>IF($F76&gt;0,$H76/$F76,"")</f>
        <v/>
      </c>
      <c r="J76" s="10" t="n"/>
      <c r="K76" s="45" t="n"/>
      <c r="L76" s="9">
        <f>IF($B76="","",IF(AND($G76&lt;&gt;"Vacant",$M76="",OR($K76&lt;&gt;"",$G76="Occupied")),"Yes","No"))</f>
        <v/>
      </c>
      <c r="M76" s="45" t="n"/>
      <c r="N76" s="24">
        <f>IF($B76="","",IF($G76="Vacant","Vacant",IF(L76="Yes","MTM",IF(M76="","",M76))))</f>
        <v/>
      </c>
      <c r="O76" s="9" t="n"/>
    </row>
    <row r="77">
      <c r="A77" s="1" t="n"/>
      <c r="B77" s="9" t="n"/>
      <c r="C77" s="9" t="n"/>
      <c r="D77" s="14" t="n"/>
      <c r="E77" s="56" t="n"/>
      <c r="F77" s="19" t="n"/>
      <c r="G77" s="9" t="n"/>
      <c r="H77" s="10" t="n"/>
      <c r="I77" s="80">
        <f>IF($F77&gt;0,$H77/$F77,"")</f>
        <v/>
      </c>
      <c r="J77" s="10" t="n"/>
      <c r="K77" s="45" t="n"/>
      <c r="L77" s="9">
        <f>IF($B77="","",IF(AND($G77&lt;&gt;"Vacant",$M77="",OR($K77&lt;&gt;"",$G77="Occupied")),"Yes","No"))</f>
        <v/>
      </c>
      <c r="M77" s="45" t="n"/>
      <c r="N77" s="24">
        <f>IF($B77="","",IF($G77="Vacant","Vacant",IF(L77="Yes","MTM",IF(M77="","",M77))))</f>
        <v/>
      </c>
      <c r="O77" s="9" t="n"/>
    </row>
    <row r="78">
      <c r="A78" s="1" t="n"/>
      <c r="B78" s="9" t="n"/>
      <c r="C78" s="9" t="n"/>
      <c r="D78" s="14" t="n"/>
      <c r="E78" s="56" t="n"/>
      <c r="F78" s="19" t="n"/>
      <c r="G78" s="9" t="n"/>
      <c r="H78" s="10" t="n"/>
      <c r="I78" s="80">
        <f>IF($F78&gt;0,$H78/$F78,"")</f>
        <v/>
      </c>
      <c r="J78" s="10" t="n"/>
      <c r="K78" s="45" t="n"/>
      <c r="L78" s="9">
        <f>IF($B78="","",IF(AND($G78&lt;&gt;"Vacant",$M78="",OR($K78&lt;&gt;"",$G78="Occupied")),"Yes","No"))</f>
        <v/>
      </c>
      <c r="M78" s="45" t="n"/>
      <c r="N78" s="24">
        <f>IF($B78="","",IF($G78="Vacant","Vacant",IF(L78="Yes","MTM",IF(M78="","",M78))))</f>
        <v/>
      </c>
      <c r="O78" s="9" t="n"/>
    </row>
    <row r="79">
      <c r="A79" s="1" t="n"/>
      <c r="B79" s="9" t="n"/>
      <c r="C79" s="9" t="n"/>
      <c r="D79" s="14" t="n"/>
      <c r="E79" s="56" t="n"/>
      <c r="F79" s="19" t="n"/>
      <c r="G79" s="9" t="n"/>
      <c r="H79" s="10" t="n"/>
      <c r="I79" s="80">
        <f>IF($F79&gt;0,$H79/$F79,"")</f>
        <v/>
      </c>
      <c r="J79" s="10" t="n"/>
      <c r="K79" s="45" t="n"/>
      <c r="L79" s="9">
        <f>IF($B79="","",IF(AND($G79&lt;&gt;"Vacant",$M79="",OR($K79&lt;&gt;"",$G79="Occupied")),"Yes","No"))</f>
        <v/>
      </c>
      <c r="M79" s="45" t="n"/>
      <c r="N79" s="24">
        <f>IF($B79="","",IF($G79="Vacant","Vacant",IF(L79="Yes","MTM",IF(M79="","",M79))))</f>
        <v/>
      </c>
      <c r="O79" s="9" t="n"/>
    </row>
    <row r="80">
      <c r="A80" s="1" t="n"/>
      <c r="B80" s="9" t="n"/>
      <c r="C80" s="9" t="n"/>
      <c r="D80" s="14" t="n"/>
      <c r="E80" s="56" t="n"/>
      <c r="F80" s="19" t="n"/>
      <c r="G80" s="9" t="n"/>
      <c r="H80" s="10" t="n"/>
      <c r="I80" s="80">
        <f>IF($F80&gt;0,$H80/$F80,"")</f>
        <v/>
      </c>
      <c r="J80" s="10" t="n"/>
      <c r="K80" s="45" t="n"/>
      <c r="L80" s="9">
        <f>IF($B80="","",IF(AND($G80&lt;&gt;"Vacant",$M80="",OR($K80&lt;&gt;"",$G80="Occupied")),"Yes","No"))</f>
        <v/>
      </c>
      <c r="M80" s="45" t="n"/>
      <c r="N80" s="24">
        <f>IF($B80="","",IF($G80="Vacant","Vacant",IF(L80="Yes","MTM",IF(M80="","",M80))))</f>
        <v/>
      </c>
      <c r="O80" s="9" t="n"/>
    </row>
    <row r="81">
      <c r="A81" s="1" t="n"/>
      <c r="B81" s="9" t="n"/>
      <c r="C81" s="9" t="n"/>
      <c r="D81" s="14" t="n"/>
      <c r="E81" s="56" t="n"/>
      <c r="F81" s="19" t="n"/>
      <c r="G81" s="9" t="n"/>
      <c r="H81" s="10" t="n"/>
      <c r="I81" s="80">
        <f>IF($F81&gt;0,$H81/$F81,"")</f>
        <v/>
      </c>
      <c r="J81" s="10" t="n"/>
      <c r="K81" s="45" t="n"/>
      <c r="L81" s="9">
        <f>IF($B81="","",IF(AND($G81&lt;&gt;"Vacant",$M81="",OR($K81&lt;&gt;"",$G81="Occupied")),"Yes","No"))</f>
        <v/>
      </c>
      <c r="M81" s="45" t="n"/>
      <c r="N81" s="24">
        <f>IF($B81="","",IF($G81="Vacant","Vacant",IF(L81="Yes","MTM",IF(M81="","",M81))))</f>
        <v/>
      </c>
      <c r="O81" s="9" t="n"/>
    </row>
    <row r="82">
      <c r="A82" s="1" t="n"/>
      <c r="B82" s="9" t="n"/>
      <c r="C82" s="9" t="n"/>
      <c r="D82" s="14" t="n"/>
      <c r="E82" s="56" t="n"/>
      <c r="F82" s="19" t="n"/>
      <c r="G82" s="9" t="n"/>
      <c r="H82" s="10" t="n"/>
      <c r="I82" s="80">
        <f>IF($F82&gt;0,$H82/$F82,"")</f>
        <v/>
      </c>
      <c r="J82" s="10" t="n"/>
      <c r="K82" s="45" t="n"/>
      <c r="L82" s="9">
        <f>IF($B82="","",IF(AND($G82&lt;&gt;"Vacant",$M82="",OR($K82&lt;&gt;"",$G82="Occupied")),"Yes","No"))</f>
        <v/>
      </c>
      <c r="M82" s="45" t="n"/>
      <c r="N82" s="24">
        <f>IF($B82="","",IF($G82="Vacant","Vacant",IF(L82="Yes","MTM",IF(M82="","",M82))))</f>
        <v/>
      </c>
      <c r="O82" s="9" t="n"/>
    </row>
    <row r="83">
      <c r="A83" s="1" t="n"/>
      <c r="B83" s="9" t="n"/>
      <c r="C83" s="9" t="n"/>
      <c r="D83" s="14" t="n"/>
      <c r="E83" s="56" t="n"/>
      <c r="F83" s="19" t="n"/>
      <c r="G83" s="9" t="n"/>
      <c r="H83" s="10" t="n"/>
      <c r="I83" s="80">
        <f>IF($F83&gt;0,$H83/$F83,"")</f>
        <v/>
      </c>
      <c r="J83" s="10" t="n"/>
      <c r="K83" s="45" t="n"/>
      <c r="L83" s="9">
        <f>IF($B83="","",IF(AND($G83&lt;&gt;"Vacant",$M83="",OR($K83&lt;&gt;"",$G83="Occupied")),"Yes","No"))</f>
        <v/>
      </c>
      <c r="M83" s="45" t="n"/>
      <c r="N83" s="24">
        <f>IF($B83="","",IF($G83="Vacant","Vacant",IF(L83="Yes","MTM",IF(M83="","",M83))))</f>
        <v/>
      </c>
      <c r="O83" s="9" t="n"/>
    </row>
    <row r="84">
      <c r="A84" s="1" t="n"/>
      <c r="B84" s="9" t="n"/>
      <c r="C84" s="9" t="n"/>
      <c r="D84" s="14" t="n"/>
      <c r="E84" s="56" t="n"/>
      <c r="F84" s="19" t="n"/>
      <c r="G84" s="9" t="n"/>
      <c r="H84" s="10" t="n"/>
      <c r="I84" s="80">
        <f>IF($F84&gt;0,$H84/$F84,"")</f>
        <v/>
      </c>
      <c r="J84" s="10" t="n"/>
      <c r="K84" s="45" t="n"/>
      <c r="L84" s="9">
        <f>IF($B84="","",IF(AND($G84&lt;&gt;"Vacant",$M84="",OR($K84&lt;&gt;"",$G84="Occupied")),"Yes","No"))</f>
        <v/>
      </c>
      <c r="M84" s="45" t="n"/>
      <c r="N84" s="24">
        <f>IF($B84="","",IF($G84="Vacant","Vacant",IF(L84="Yes","MTM",IF(M84="","",M84))))</f>
        <v/>
      </c>
      <c r="O84" s="9" t="n"/>
    </row>
    <row r="85">
      <c r="A85" s="1" t="n"/>
      <c r="B85" s="9" t="n"/>
      <c r="C85" s="9" t="n"/>
      <c r="D85" s="14" t="n"/>
      <c r="E85" s="56" t="n"/>
      <c r="F85" s="19" t="n"/>
      <c r="G85" s="9" t="n"/>
      <c r="H85" s="10" t="n"/>
      <c r="I85" s="80">
        <f>IF($F85&gt;0,$H85/$F85,"")</f>
        <v/>
      </c>
      <c r="J85" s="10" t="n"/>
      <c r="K85" s="45" t="n"/>
      <c r="L85" s="9">
        <f>IF($B85="","",IF(AND($G85&lt;&gt;"Vacant",$M85="",OR($K85&lt;&gt;"",$G85="Occupied")),"Yes","No"))</f>
        <v/>
      </c>
      <c r="M85" s="45" t="n"/>
      <c r="N85" s="24">
        <f>IF($B85="","",IF($G85="Vacant","Vacant",IF(L85="Yes","MTM",IF(M85="","",M85))))</f>
        <v/>
      </c>
      <c r="O85" s="9" t="n"/>
    </row>
    <row r="86">
      <c r="A86" s="1" t="n"/>
      <c r="B86" s="9" t="n"/>
      <c r="C86" s="9" t="n"/>
      <c r="D86" s="14" t="n"/>
      <c r="E86" s="56" t="n"/>
      <c r="F86" s="19" t="n"/>
      <c r="G86" s="9" t="n"/>
      <c r="H86" s="10" t="n"/>
      <c r="I86" s="80">
        <f>IF($F86&gt;0,$H86/$F86,"")</f>
        <v/>
      </c>
      <c r="J86" s="10" t="n"/>
      <c r="K86" s="45" t="n"/>
      <c r="L86" s="9">
        <f>IF($B86="","",IF(AND($G86&lt;&gt;"Vacant",$M86="",OR($K86&lt;&gt;"",$G86="Occupied")),"Yes","No"))</f>
        <v/>
      </c>
      <c r="M86" s="45" t="n"/>
      <c r="N86" s="24">
        <f>IF($B86="","",IF($G86="Vacant","Vacant",IF(L86="Yes","MTM",IF(M86="","",M86))))</f>
        <v/>
      </c>
      <c r="O86" s="9" t="n"/>
    </row>
    <row r="87">
      <c r="A87" s="1" t="n"/>
      <c r="B87" s="9" t="n"/>
      <c r="C87" s="9" t="n"/>
      <c r="D87" s="14" t="n"/>
      <c r="E87" s="56" t="n"/>
      <c r="F87" s="19" t="n"/>
      <c r="G87" s="9" t="n"/>
      <c r="H87" s="10" t="n"/>
      <c r="I87" s="80">
        <f>IF($F87&gt;0,$H87/$F87,"")</f>
        <v/>
      </c>
      <c r="J87" s="10" t="n"/>
      <c r="K87" s="45" t="n"/>
      <c r="L87" s="9">
        <f>IF($B87="","",IF(AND($G87&lt;&gt;"Vacant",$M87="",OR($K87&lt;&gt;"",$G87="Occupied")),"Yes","No"))</f>
        <v/>
      </c>
      <c r="M87" s="45" t="n"/>
      <c r="N87" s="24">
        <f>IF($B87="","",IF($G87="Vacant","Vacant",IF(L87="Yes","MTM",IF(M87="","",M87))))</f>
        <v/>
      </c>
      <c r="O87" s="9" t="n"/>
    </row>
    <row r="88">
      <c r="A88" s="1" t="n"/>
      <c r="B88" s="9" t="n"/>
      <c r="C88" s="9" t="n"/>
      <c r="D88" s="14" t="n"/>
      <c r="E88" s="56" t="n"/>
      <c r="F88" s="19" t="n"/>
      <c r="G88" s="9" t="n"/>
      <c r="H88" s="10" t="n"/>
      <c r="I88" s="80">
        <f>IF($F88&gt;0,$H88/$F88,"")</f>
        <v/>
      </c>
      <c r="J88" s="10" t="n"/>
      <c r="K88" s="45" t="n"/>
      <c r="L88" s="9">
        <f>IF($B88="","",IF(AND($G88&lt;&gt;"Vacant",$M88="",OR($K88&lt;&gt;"",$G88="Occupied")),"Yes","No"))</f>
        <v/>
      </c>
      <c r="M88" s="45" t="n"/>
      <c r="N88" s="24">
        <f>IF($B88="","",IF($G88="Vacant","Vacant",IF(L88="Yes","MTM",IF(M88="","",M88))))</f>
        <v/>
      </c>
      <c r="O88" s="9" t="n"/>
    </row>
    <row r="89">
      <c r="A89" s="1" t="n"/>
      <c r="B89" s="9" t="n"/>
      <c r="C89" s="9" t="n"/>
      <c r="D89" s="14" t="n"/>
      <c r="E89" s="56" t="n"/>
      <c r="F89" s="19" t="n"/>
      <c r="G89" s="9" t="n"/>
      <c r="H89" s="10" t="n"/>
      <c r="I89" s="80">
        <f>IF($F89&gt;0,$H89/$F89,"")</f>
        <v/>
      </c>
      <c r="J89" s="10" t="n"/>
      <c r="K89" s="45" t="n"/>
      <c r="L89" s="9">
        <f>IF($B89="","",IF(AND($G89&lt;&gt;"Vacant",$M89="",OR($K89&lt;&gt;"",$G89="Occupied")),"Yes","No"))</f>
        <v/>
      </c>
      <c r="M89" s="45" t="n"/>
      <c r="N89" s="24">
        <f>IF($B89="","",IF($G89="Vacant","Vacant",IF(L89="Yes","MTM",IF(M89="","",M89))))</f>
        <v/>
      </c>
      <c r="O89" s="9" t="n"/>
    </row>
    <row r="90">
      <c r="A90" s="1" t="n"/>
      <c r="B90" s="9" t="n"/>
      <c r="C90" s="9" t="n"/>
      <c r="D90" s="14" t="n"/>
      <c r="E90" s="56" t="n"/>
      <c r="F90" s="19" t="n"/>
      <c r="G90" s="9" t="n"/>
      <c r="H90" s="10" t="n"/>
      <c r="I90" s="80">
        <f>IF($F90&gt;0,$H90/$F90,"")</f>
        <v/>
      </c>
      <c r="J90" s="10" t="n"/>
      <c r="K90" s="45" t="n"/>
      <c r="L90" s="9">
        <f>IF($B90="","",IF(AND($G90&lt;&gt;"Vacant",$M90="",OR($K90&lt;&gt;"",$G90="Occupied")),"Yes","No"))</f>
        <v/>
      </c>
      <c r="M90" s="45" t="n"/>
      <c r="N90" s="24">
        <f>IF($B90="","",IF($G90="Vacant","Vacant",IF(L90="Yes","MTM",IF(M90="","",M90))))</f>
        <v/>
      </c>
      <c r="O90" s="9" t="n"/>
    </row>
    <row r="91">
      <c r="A91" s="1" t="n"/>
      <c r="B91" s="9" t="n"/>
      <c r="C91" s="9" t="n"/>
      <c r="D91" s="14" t="n"/>
      <c r="E91" s="56" t="n"/>
      <c r="F91" s="19" t="n"/>
      <c r="G91" s="9" t="n"/>
      <c r="H91" s="10" t="n"/>
      <c r="I91" s="80">
        <f>IF($F91&gt;0,$H91/$F91,"")</f>
        <v/>
      </c>
      <c r="J91" s="10" t="n"/>
      <c r="K91" s="45" t="n"/>
      <c r="L91" s="9">
        <f>IF($B91="","",IF(AND($G91&lt;&gt;"Vacant",$M91="",OR($K91&lt;&gt;"",$G91="Occupied")),"Yes","No"))</f>
        <v/>
      </c>
      <c r="M91" s="45" t="n"/>
      <c r="N91" s="24">
        <f>IF($B91="","",IF($G91="Vacant","Vacant",IF(L91="Yes","MTM",IF(M91="","",M91))))</f>
        <v/>
      </c>
      <c r="O91" s="9" t="n"/>
    </row>
    <row r="92">
      <c r="A92" s="1" t="n"/>
      <c r="B92" s="9" t="n"/>
      <c r="C92" s="9" t="n"/>
      <c r="D92" s="14" t="n"/>
      <c r="E92" s="56" t="n"/>
      <c r="F92" s="19" t="n"/>
      <c r="G92" s="9" t="n"/>
      <c r="H92" s="10" t="n"/>
      <c r="I92" s="80">
        <f>IF($F92&gt;0,$H92/$F92,"")</f>
        <v/>
      </c>
      <c r="J92" s="10" t="n"/>
      <c r="K92" s="45" t="n"/>
      <c r="L92" s="9">
        <f>IF($B92="","",IF(AND($G92&lt;&gt;"Vacant",$M92="",OR($K92&lt;&gt;"",$G92="Occupied")),"Yes","No"))</f>
        <v/>
      </c>
      <c r="M92" s="45" t="n"/>
      <c r="N92" s="24">
        <f>IF($B92="","",IF($G92="Vacant","Vacant",IF(L92="Yes","MTM",IF(M92="","",M92))))</f>
        <v/>
      </c>
      <c r="O92" s="9" t="n"/>
    </row>
    <row r="93">
      <c r="A93" s="1" t="n"/>
      <c r="B93" s="9" t="n"/>
      <c r="C93" s="9" t="n"/>
      <c r="D93" s="14" t="n"/>
      <c r="E93" s="56" t="n"/>
      <c r="F93" s="19" t="n"/>
      <c r="G93" s="9" t="n"/>
      <c r="H93" s="10" t="n"/>
      <c r="I93" s="80">
        <f>IF($F93&gt;0,$H93/$F93,"")</f>
        <v/>
      </c>
      <c r="J93" s="10" t="n"/>
      <c r="K93" s="45" t="n"/>
      <c r="L93" s="9">
        <f>IF($B93="","",IF(AND($G93&lt;&gt;"Vacant",$M93="",OR($K93&lt;&gt;"",$G93="Occupied")),"Yes","No"))</f>
        <v/>
      </c>
      <c r="M93" s="45" t="n"/>
      <c r="N93" s="24">
        <f>IF($B93="","",IF($G93="Vacant","Vacant",IF(L93="Yes","MTM",IF(M93="","",M93))))</f>
        <v/>
      </c>
      <c r="O93" s="9" t="n"/>
    </row>
    <row r="94">
      <c r="A94" s="1" t="n"/>
      <c r="B94" s="9" t="n"/>
      <c r="C94" s="9" t="n"/>
      <c r="D94" s="14" t="n"/>
      <c r="E94" s="56" t="n"/>
      <c r="F94" s="19" t="n"/>
      <c r="G94" s="9" t="n"/>
      <c r="H94" s="10" t="n"/>
      <c r="I94" s="80">
        <f>IF($F94&gt;0,$H94/$F94,"")</f>
        <v/>
      </c>
      <c r="J94" s="10" t="n"/>
      <c r="K94" s="45" t="n"/>
      <c r="L94" s="9">
        <f>IF($B94="","",IF(AND($G94&lt;&gt;"Vacant",$M94="",OR($K94&lt;&gt;"",$G94="Occupied")),"Yes","No"))</f>
        <v/>
      </c>
      <c r="M94" s="45" t="n"/>
      <c r="N94" s="24">
        <f>IF($B94="","",IF($G94="Vacant","Vacant",IF(L94="Yes","MTM",IF(M94="","",M94))))</f>
        <v/>
      </c>
      <c r="O94" s="9" t="n"/>
    </row>
    <row r="95">
      <c r="A95" s="1" t="n"/>
      <c r="B95" s="9" t="n"/>
      <c r="C95" s="9" t="n"/>
      <c r="D95" s="14" t="n"/>
      <c r="E95" s="56" t="n"/>
      <c r="F95" s="19" t="n"/>
      <c r="G95" s="9" t="n"/>
      <c r="H95" s="10" t="n"/>
      <c r="I95" s="80">
        <f>IF($F95&gt;0,$H95/$F95,"")</f>
        <v/>
      </c>
      <c r="J95" s="10" t="n"/>
      <c r="K95" s="45" t="n"/>
      <c r="L95" s="9">
        <f>IF($B95="","",IF(AND($G95&lt;&gt;"Vacant",$M95="",OR($K95&lt;&gt;"",$G95="Occupied")),"Yes","No"))</f>
        <v/>
      </c>
      <c r="M95" s="45" t="n"/>
      <c r="N95" s="24">
        <f>IF($B95="","",IF($G95="Vacant","Vacant",IF(L95="Yes","MTM",IF(M95="","",M95))))</f>
        <v/>
      </c>
      <c r="O95" s="9" t="n"/>
    </row>
    <row r="96">
      <c r="A96" s="1" t="n"/>
      <c r="B96" s="9" t="n"/>
      <c r="C96" s="9" t="n"/>
      <c r="D96" s="14" t="n"/>
      <c r="E96" s="56" t="n"/>
      <c r="F96" s="19" t="n"/>
      <c r="G96" s="9" t="n"/>
      <c r="H96" s="10" t="n"/>
      <c r="I96" s="80">
        <f>IF($F96&gt;0,$H96/$F96,"")</f>
        <v/>
      </c>
      <c r="J96" s="10" t="n"/>
      <c r="K96" s="45" t="n"/>
      <c r="L96" s="9">
        <f>IF($B96="","",IF(AND($G96&lt;&gt;"Vacant",$M96="",OR($K96&lt;&gt;"",$G96="Occupied")),"Yes","No"))</f>
        <v/>
      </c>
      <c r="M96" s="45" t="n"/>
      <c r="N96" s="24">
        <f>IF($B96="","",IF($G96="Vacant","Vacant",IF(L96="Yes","MTM",IF(M96="","",M96))))</f>
        <v/>
      </c>
      <c r="O96" s="9" t="n"/>
    </row>
    <row r="97">
      <c r="A97" s="1" t="n"/>
      <c r="B97" s="9" t="n"/>
      <c r="C97" s="9" t="n"/>
      <c r="D97" s="14" t="n"/>
      <c r="E97" s="56" t="n"/>
      <c r="F97" s="19" t="n"/>
      <c r="G97" s="9" t="n"/>
      <c r="H97" s="10" t="n"/>
      <c r="I97" s="80">
        <f>IF($F97&gt;0,$H97/$F97,"")</f>
        <v/>
      </c>
      <c r="J97" s="10" t="n"/>
      <c r="K97" s="45" t="n"/>
      <c r="L97" s="9">
        <f>IF($B97="","",IF(AND($G97&lt;&gt;"Vacant",$M97="",OR($K97&lt;&gt;"",$G97="Occupied")),"Yes","No"))</f>
        <v/>
      </c>
      <c r="M97" s="45" t="n"/>
      <c r="N97" s="24">
        <f>IF($B97="","",IF($G97="Vacant","Vacant",IF(L97="Yes","MTM",IF(M97="","",M97))))</f>
        <v/>
      </c>
      <c r="O97" s="9" t="n"/>
    </row>
    <row r="98">
      <c r="A98" s="1" t="n"/>
      <c r="B98" s="9" t="n"/>
      <c r="C98" s="9" t="n"/>
      <c r="D98" s="14" t="n"/>
      <c r="E98" s="56" t="n"/>
      <c r="F98" s="19" t="n"/>
      <c r="G98" s="9" t="n"/>
      <c r="H98" s="10" t="n"/>
      <c r="I98" s="80">
        <f>IF($F98&gt;0,$H98/$F98,"")</f>
        <v/>
      </c>
      <c r="J98" s="10" t="n"/>
      <c r="K98" s="45" t="n"/>
      <c r="L98" s="9">
        <f>IF($B98="","",IF(AND($G98&lt;&gt;"Vacant",$M98="",OR($K98&lt;&gt;"",$G98="Occupied")),"Yes","No"))</f>
        <v/>
      </c>
      <c r="M98" s="45" t="n"/>
      <c r="N98" s="24">
        <f>IF($B98="","",IF($G98="Vacant","Vacant",IF(L98="Yes","MTM",IF(M98="","",M98))))</f>
        <v/>
      </c>
      <c r="O98" s="9" t="n"/>
    </row>
    <row r="99">
      <c r="A99" s="1" t="n"/>
      <c r="B99" s="9" t="n"/>
      <c r="C99" s="9" t="n"/>
      <c r="D99" s="14" t="n"/>
      <c r="E99" s="56" t="n"/>
      <c r="F99" s="19" t="n"/>
      <c r="G99" s="9" t="n"/>
      <c r="H99" s="10" t="n"/>
      <c r="I99" s="80">
        <f>IF($F99&gt;0,$H99/$F99,"")</f>
        <v/>
      </c>
      <c r="J99" s="10" t="n"/>
      <c r="K99" s="45" t="n"/>
      <c r="L99" s="9">
        <f>IF($B99="","",IF(AND($G99&lt;&gt;"Vacant",$M99="",OR($K99&lt;&gt;"",$G99="Occupied")),"Yes","No"))</f>
        <v/>
      </c>
      <c r="M99" s="45" t="n"/>
      <c r="N99" s="24">
        <f>IF($B99="","",IF($G99="Vacant","Vacant",IF(L99="Yes","MTM",IF(M99="","",M99))))</f>
        <v/>
      </c>
      <c r="O99" s="9" t="n"/>
    </row>
    <row r="100">
      <c r="A100" s="1" t="n"/>
      <c r="B100" s="9" t="n"/>
      <c r="C100" s="9" t="n"/>
      <c r="D100" s="14" t="n"/>
      <c r="E100" s="56" t="n"/>
      <c r="F100" s="19" t="n"/>
      <c r="G100" s="9" t="n"/>
      <c r="H100" s="10" t="n"/>
      <c r="I100" s="80">
        <f>IF($F100&gt;0,$H100/$F100,"")</f>
        <v/>
      </c>
      <c r="J100" s="10" t="n"/>
      <c r="K100" s="45" t="n"/>
      <c r="L100" s="9">
        <f>IF($B100="","",IF(AND($G100&lt;&gt;"Vacant",$M100="",OR($K100&lt;&gt;"",$G100="Occupied")),"Yes","No"))</f>
        <v/>
      </c>
      <c r="M100" s="45" t="n"/>
      <c r="N100" s="24">
        <f>IF($B100="","",IF($G100="Vacant","Vacant",IF(L100="Yes","MTM",IF(M100="","",M100))))</f>
        <v/>
      </c>
      <c r="O100" s="9" t="n"/>
    </row>
    <row r="101">
      <c r="A101" s="1" t="n"/>
      <c r="B101" s="9" t="n"/>
      <c r="C101" s="9" t="n"/>
      <c r="D101" s="14" t="n"/>
      <c r="E101" s="56" t="n"/>
      <c r="F101" s="19" t="n"/>
      <c r="G101" s="9" t="n"/>
      <c r="H101" s="10" t="n"/>
      <c r="I101" s="80">
        <f>IF($F101&gt;0,$H101/$F101,"")</f>
        <v/>
      </c>
      <c r="J101" s="10" t="n"/>
      <c r="K101" s="45" t="n"/>
      <c r="L101" s="9">
        <f>IF($B101="","",IF(AND($G101&lt;&gt;"Vacant",$M101="",OR($K101&lt;&gt;"",$G101="Occupied")),"Yes","No"))</f>
        <v/>
      </c>
      <c r="M101" s="45" t="n"/>
      <c r="N101" s="24">
        <f>IF($B101="","",IF($G101="Vacant","Vacant",IF(L101="Yes","MTM",IF(M101="","",M101))))</f>
        <v/>
      </c>
      <c r="O101" s="9" t="n"/>
    </row>
    <row r="102">
      <c r="A102" s="1" t="n"/>
      <c r="B102" s="9" t="n"/>
      <c r="C102" s="9" t="n"/>
      <c r="D102" s="14" t="n"/>
      <c r="E102" s="56" t="n"/>
      <c r="F102" s="19" t="n"/>
      <c r="G102" s="9" t="n"/>
      <c r="H102" s="10" t="n"/>
      <c r="I102" s="80">
        <f>IF($F102&gt;0,$H102/$F102,"")</f>
        <v/>
      </c>
      <c r="J102" s="10" t="n"/>
      <c r="K102" s="45" t="n"/>
      <c r="L102" s="9">
        <f>IF($B102="","",IF(AND($G102&lt;&gt;"Vacant",$M102="",OR($K102&lt;&gt;"",$G102="Occupied")),"Yes","No"))</f>
        <v/>
      </c>
      <c r="M102" s="45" t="n"/>
      <c r="N102" s="24">
        <f>IF($B102="","",IF($G102="Vacant","Vacant",IF(L102="Yes","MTM",IF(M102="","",M102))))</f>
        <v/>
      </c>
      <c r="O102" s="9" t="n"/>
    </row>
    <row r="103">
      <c r="A103" s="1" t="n"/>
      <c r="B103" s="9" t="n"/>
      <c r="C103" s="9" t="n"/>
      <c r="D103" s="14" t="n"/>
      <c r="E103" s="56" t="n"/>
      <c r="F103" s="19" t="n"/>
      <c r="G103" s="9" t="n"/>
      <c r="H103" s="10" t="n"/>
      <c r="I103" s="80">
        <f>IF($F103&gt;0,$H103/$F103,"")</f>
        <v/>
      </c>
      <c r="J103" s="10" t="n"/>
      <c r="K103" s="45" t="n"/>
      <c r="L103" s="9">
        <f>IF($B103="","",IF(AND($G103&lt;&gt;"Vacant",$M103="",OR($K103&lt;&gt;"",$G103="Occupied")),"Yes","No"))</f>
        <v/>
      </c>
      <c r="M103" s="45" t="n"/>
      <c r="N103" s="24">
        <f>IF($B103="","",IF($G103="Vacant","Vacant",IF(L103="Yes","MTM",IF(M103="","",M103))))</f>
        <v/>
      </c>
      <c r="O103" s="9" t="n"/>
    </row>
    <row r="104">
      <c r="A104" s="1" t="n"/>
      <c r="B104" s="9" t="n"/>
      <c r="C104" s="9" t="n"/>
      <c r="D104" s="14" t="n"/>
      <c r="E104" s="56" t="n"/>
      <c r="F104" s="19" t="n"/>
      <c r="G104" s="9" t="n"/>
      <c r="H104" s="10" t="n"/>
      <c r="I104" s="80">
        <f>IF($F104&gt;0,$H104/$F104,"")</f>
        <v/>
      </c>
      <c r="J104" s="10" t="n"/>
      <c r="K104" s="45" t="n"/>
      <c r="L104" s="9">
        <f>IF($B104="","",IF(AND($G104&lt;&gt;"Vacant",$M104="",OR($K104&lt;&gt;"",$G104="Occupied")),"Yes","No"))</f>
        <v/>
      </c>
      <c r="M104" s="45" t="n"/>
      <c r="N104" s="24">
        <f>IF($B104="","",IF($G104="Vacant","Vacant",IF(L104="Yes","MTM",IF(M104="","",M104))))</f>
        <v/>
      </c>
      <c r="O104" s="9" t="n"/>
    </row>
    <row r="105">
      <c r="A105" s="1" t="n"/>
      <c r="B105" s="9" t="n"/>
      <c r="C105" s="9" t="n"/>
      <c r="D105" s="14" t="n"/>
      <c r="E105" s="56" t="n"/>
      <c r="F105" s="19" t="n"/>
      <c r="G105" s="9" t="n"/>
      <c r="H105" s="10" t="n"/>
      <c r="I105" s="80">
        <f>IF($F105&gt;0,$H105/$F105,"")</f>
        <v/>
      </c>
      <c r="J105" s="10" t="n"/>
      <c r="K105" s="45" t="n"/>
      <c r="L105" s="9">
        <f>IF($B105="","",IF(AND($G105&lt;&gt;"Vacant",$M105="",OR($K105&lt;&gt;"",$G105="Occupied")),"Yes","No"))</f>
        <v/>
      </c>
      <c r="M105" s="45" t="n"/>
      <c r="N105" s="24">
        <f>IF($B105="","",IF($G105="Vacant","Vacant",IF(L105="Yes","MTM",IF(M105="","",M105))))</f>
        <v/>
      </c>
      <c r="O105" s="9" t="n"/>
    </row>
    <row r="106">
      <c r="A106" s="1" t="n"/>
      <c r="B106" s="9" t="n"/>
      <c r="C106" s="9" t="n"/>
      <c r="D106" s="14" t="n"/>
      <c r="E106" s="56" t="n"/>
      <c r="F106" s="19" t="n"/>
      <c r="G106" s="9" t="n"/>
      <c r="H106" s="10" t="n"/>
      <c r="I106" s="80">
        <f>IF($F106&gt;0,$H106/$F106,"")</f>
        <v/>
      </c>
      <c r="J106" s="10" t="n"/>
      <c r="K106" s="45" t="n"/>
      <c r="L106" s="9">
        <f>IF($B106="","",IF(AND($G106&lt;&gt;"Vacant",$M106="",OR($K106&lt;&gt;"",$G106="Occupied")),"Yes","No"))</f>
        <v/>
      </c>
      <c r="M106" s="45" t="n"/>
      <c r="N106" s="24">
        <f>IF($B106="","",IF($G106="Vacant","Vacant",IF(L106="Yes","MTM",IF(M106="","",M106))))</f>
        <v/>
      </c>
      <c r="O106" s="9" t="n"/>
    </row>
    <row r="107">
      <c r="A107" s="1" t="n"/>
      <c r="B107" s="9" t="n"/>
      <c r="C107" s="9" t="n"/>
      <c r="D107" s="14" t="n"/>
      <c r="E107" s="56" t="n"/>
      <c r="F107" s="19" t="n"/>
      <c r="G107" s="9" t="n"/>
      <c r="H107" s="10" t="n"/>
      <c r="I107" s="80">
        <f>IF($F107&gt;0,$H107/$F107,"")</f>
        <v/>
      </c>
      <c r="J107" s="10" t="n"/>
      <c r="K107" s="45" t="n"/>
      <c r="L107" s="9">
        <f>IF($B107="","",IF(AND($G107&lt;&gt;"Vacant",$M107="",OR($K107&lt;&gt;"",$G107="Occupied")),"Yes","No"))</f>
        <v/>
      </c>
      <c r="M107" s="45" t="n"/>
      <c r="N107" s="24">
        <f>IF($B107="","",IF($G107="Vacant","Vacant",IF(L107="Yes","MTM",IF(M107="","",M107))))</f>
        <v/>
      </c>
      <c r="O107" s="9" t="n"/>
    </row>
    <row r="108">
      <c r="A108" s="1" t="n"/>
      <c r="B108" s="9" t="n"/>
      <c r="C108" s="9" t="n"/>
      <c r="D108" s="14" t="n"/>
      <c r="E108" s="56" t="n"/>
      <c r="F108" s="19" t="n"/>
      <c r="G108" s="9" t="n"/>
      <c r="H108" s="10" t="n"/>
      <c r="I108" s="80">
        <f>IF($F108&gt;0,$H108/$F108,"")</f>
        <v/>
      </c>
      <c r="J108" s="10" t="n"/>
      <c r="K108" s="45" t="n"/>
      <c r="L108" s="9">
        <f>IF($B108="","",IF(AND($G108&lt;&gt;"Vacant",$M108="",OR($K108&lt;&gt;"",$G108="Occupied")),"Yes","No"))</f>
        <v/>
      </c>
      <c r="M108" s="45" t="n"/>
      <c r="N108" s="24">
        <f>IF($B108="","",IF($G108="Vacant","Vacant",IF(L108="Yes","MTM",IF(M108="","",M108))))</f>
        <v/>
      </c>
      <c r="O108" s="9" t="n"/>
    </row>
    <row r="109">
      <c r="A109" s="1" t="n"/>
      <c r="B109" s="9" t="n"/>
      <c r="C109" s="9" t="n"/>
      <c r="D109" s="14" t="n"/>
      <c r="E109" s="56" t="n"/>
      <c r="F109" s="19" t="n"/>
      <c r="G109" s="9" t="n"/>
      <c r="H109" s="10" t="n"/>
      <c r="I109" s="80">
        <f>IF($F109&gt;0,$H109/$F109,"")</f>
        <v/>
      </c>
      <c r="J109" s="10" t="n"/>
      <c r="K109" s="45" t="n"/>
      <c r="L109" s="9">
        <f>IF($B109="","",IF(AND($G109&lt;&gt;"Vacant",$M109="",OR($K109&lt;&gt;"",$G109="Occupied")),"Yes","No"))</f>
        <v/>
      </c>
      <c r="M109" s="45" t="n"/>
      <c r="N109" s="24">
        <f>IF($B109="","",IF($G109="Vacant","Vacant",IF(L109="Yes","MTM",IF(M109="","",M109))))</f>
        <v/>
      </c>
      <c r="O109" s="9" t="n"/>
    </row>
    <row r="110">
      <c r="A110" s="1" t="n"/>
      <c r="B110" s="9" t="n"/>
      <c r="C110" s="9" t="n"/>
      <c r="D110" s="14" t="n"/>
      <c r="E110" s="56" t="n"/>
      <c r="F110" s="19" t="n"/>
      <c r="G110" s="9" t="n"/>
      <c r="H110" s="10" t="n"/>
      <c r="I110" s="80">
        <f>IF($F110&gt;0,$H110/$F110,"")</f>
        <v/>
      </c>
      <c r="J110" s="10" t="n"/>
      <c r="K110" s="45" t="n"/>
      <c r="L110" s="9">
        <f>IF($B110="","",IF(AND($G110&lt;&gt;"Vacant",$M110="",OR($K110&lt;&gt;"",$G110="Occupied")),"Yes","No"))</f>
        <v/>
      </c>
      <c r="M110" s="45" t="n"/>
      <c r="N110" s="24">
        <f>IF($B110="","",IF($G110="Vacant","Vacant",IF(L110="Yes","MTM",IF(M110="","",M110))))</f>
        <v/>
      </c>
      <c r="O110" s="9" t="n"/>
    </row>
    <row r="111">
      <c r="A111" s="1" t="n"/>
      <c r="B111" s="9" t="n"/>
      <c r="C111" s="9" t="n"/>
      <c r="D111" s="14" t="n"/>
      <c r="E111" s="56" t="n"/>
      <c r="F111" s="19" t="n"/>
      <c r="G111" s="9" t="n"/>
      <c r="H111" s="10" t="n"/>
      <c r="I111" s="80">
        <f>IF($F111&gt;0,$H111/$F111,"")</f>
        <v/>
      </c>
      <c r="J111" s="10" t="n"/>
      <c r="K111" s="45" t="n"/>
      <c r="L111" s="9">
        <f>IF($B111="","",IF(AND($G111&lt;&gt;"Vacant",$M111="",OR($K111&lt;&gt;"",$G111="Occupied")),"Yes","No"))</f>
        <v/>
      </c>
      <c r="M111" s="45" t="n"/>
      <c r="N111" s="24">
        <f>IF($B111="","",IF($G111="Vacant","Vacant",IF(L111="Yes","MTM",IF(M111="","",M111))))</f>
        <v/>
      </c>
      <c r="O111" s="9" t="n"/>
    </row>
    <row r="112">
      <c r="A112" s="1" t="n"/>
      <c r="B112" s="9" t="n"/>
      <c r="C112" s="9" t="n"/>
      <c r="D112" s="14" t="n"/>
      <c r="E112" s="56" t="n"/>
      <c r="F112" s="19" t="n"/>
      <c r="G112" s="9" t="n"/>
      <c r="H112" s="10" t="n"/>
      <c r="I112" s="80">
        <f>IF($F112&gt;0,$H112/$F112,"")</f>
        <v/>
      </c>
      <c r="J112" s="10" t="n"/>
      <c r="K112" s="45" t="n"/>
      <c r="L112" s="9">
        <f>IF($B112="","",IF(AND($G112&lt;&gt;"Vacant",$M112="",OR($K112&lt;&gt;"",$G112="Occupied")),"Yes","No"))</f>
        <v/>
      </c>
      <c r="M112" s="45" t="n"/>
      <c r="N112" s="24">
        <f>IF($B112="","",IF($G112="Vacant","Vacant",IF(L112="Yes","MTM",IF(M112="","",M112))))</f>
        <v/>
      </c>
      <c r="O112" s="9" t="n"/>
    </row>
    <row r="113">
      <c r="A113" s="1" t="n"/>
      <c r="B113" s="9" t="n"/>
      <c r="C113" s="9" t="n"/>
      <c r="D113" s="14" t="n"/>
      <c r="E113" s="56" t="n"/>
      <c r="F113" s="19" t="n"/>
      <c r="G113" s="9" t="n"/>
      <c r="H113" s="10" t="n"/>
      <c r="I113" s="80">
        <f>IF($F113&gt;0,$H113/$F113,"")</f>
        <v/>
      </c>
      <c r="J113" s="10" t="n"/>
      <c r="K113" s="45" t="n"/>
      <c r="L113" s="9">
        <f>IF($B113="","",IF(AND($G113&lt;&gt;"Vacant",$M113="",OR($K113&lt;&gt;"",$G113="Occupied")),"Yes","No"))</f>
        <v/>
      </c>
      <c r="M113" s="45" t="n"/>
      <c r="N113" s="24">
        <f>IF($B113="","",IF($G113="Vacant","Vacant",IF(L113="Yes","MTM",IF(M113="","",M113))))</f>
        <v/>
      </c>
      <c r="O113" s="9" t="n"/>
    </row>
    <row r="114">
      <c r="A114" s="1" t="n"/>
      <c r="B114" s="9" t="n"/>
      <c r="C114" s="9" t="n"/>
      <c r="D114" s="14" t="n"/>
      <c r="E114" s="56" t="n"/>
      <c r="F114" s="19" t="n"/>
      <c r="G114" s="9" t="n"/>
      <c r="H114" s="10" t="n"/>
      <c r="I114" s="80">
        <f>IF($F114&gt;0,$H114/$F114,"")</f>
        <v/>
      </c>
      <c r="J114" s="10" t="n"/>
      <c r="K114" s="45" t="n"/>
      <c r="L114" s="9">
        <f>IF($B114="","",IF(AND($G114&lt;&gt;"Vacant",$M114="",OR($K114&lt;&gt;"",$G114="Occupied")),"Yes","No"))</f>
        <v/>
      </c>
      <c r="M114" s="45" t="n"/>
      <c r="N114" s="24">
        <f>IF($B114="","",IF($G114="Vacant","Vacant",IF(L114="Yes","MTM",IF(M114="","",M114))))</f>
        <v/>
      </c>
      <c r="O114" s="9" t="n"/>
    </row>
    <row r="115">
      <c r="A115" s="1" t="n"/>
      <c r="B115" s="9" t="n"/>
      <c r="C115" s="9" t="n"/>
      <c r="D115" s="14" t="n"/>
      <c r="E115" s="56" t="n"/>
      <c r="F115" s="19" t="n"/>
      <c r="G115" s="9" t="n"/>
      <c r="H115" s="10" t="n"/>
      <c r="I115" s="80">
        <f>IF($F115&gt;0,$H115/$F115,"")</f>
        <v/>
      </c>
      <c r="J115" s="10" t="n"/>
      <c r="K115" s="45" t="n"/>
      <c r="L115" s="9">
        <f>IF($B115="","",IF(AND($G115&lt;&gt;"Vacant",$M115="",OR($K115&lt;&gt;"",$G115="Occupied")),"Yes","No"))</f>
        <v/>
      </c>
      <c r="M115" s="45" t="n"/>
      <c r="N115" s="24">
        <f>IF($B115="","",IF($G115="Vacant","Vacant",IF(L115="Yes","MTM",IF(M115="","",M115))))</f>
        <v/>
      </c>
      <c r="O115" s="9" t="n"/>
    </row>
    <row r="116">
      <c r="A116" s="1" t="n"/>
      <c r="B116" s="9" t="n"/>
      <c r="C116" s="9" t="n"/>
      <c r="D116" s="14" t="n"/>
      <c r="E116" s="56" t="n"/>
      <c r="F116" s="19" t="n"/>
      <c r="G116" s="9" t="n"/>
      <c r="H116" s="10" t="n"/>
      <c r="I116" s="80">
        <f>IF($F116&gt;0,$H116/$F116,"")</f>
        <v/>
      </c>
      <c r="J116" s="10" t="n"/>
      <c r="K116" s="45" t="n"/>
      <c r="L116" s="9">
        <f>IF($B116="","",IF(AND($G116&lt;&gt;"Vacant",$M116="",OR($K116&lt;&gt;"",$G116="Occupied")),"Yes","No"))</f>
        <v/>
      </c>
      <c r="M116" s="45" t="n"/>
      <c r="N116" s="24">
        <f>IF($B116="","",IF($G116="Vacant","Vacant",IF(L116="Yes","MTM",IF(M116="","",M116))))</f>
        <v/>
      </c>
      <c r="O116" s="9" t="n"/>
    </row>
    <row r="117">
      <c r="A117" s="1" t="n"/>
      <c r="B117" s="9" t="n"/>
      <c r="C117" s="9" t="n"/>
      <c r="D117" s="14" t="n"/>
      <c r="E117" s="56" t="n"/>
      <c r="F117" s="19" t="n"/>
      <c r="G117" s="9" t="n"/>
      <c r="H117" s="10" t="n"/>
      <c r="I117" s="80">
        <f>IF($F117&gt;0,$H117/$F117,"")</f>
        <v/>
      </c>
      <c r="J117" s="10" t="n"/>
      <c r="K117" s="45" t="n"/>
      <c r="L117" s="9">
        <f>IF($B117="","",IF(AND($G117&lt;&gt;"Vacant",$M117="",OR($K117&lt;&gt;"",$G117="Occupied")),"Yes","No"))</f>
        <v/>
      </c>
      <c r="M117" s="45" t="n"/>
      <c r="N117" s="24">
        <f>IF($B117="","",IF($G117="Vacant","Vacant",IF(L117="Yes","MTM",IF(M117="","",M117))))</f>
        <v/>
      </c>
      <c r="O117" s="9" t="n"/>
    </row>
    <row r="118">
      <c r="A118" s="1" t="n"/>
      <c r="B118" s="9" t="n"/>
      <c r="C118" s="9" t="n"/>
      <c r="D118" s="14" t="n"/>
      <c r="E118" s="56" t="n"/>
      <c r="F118" s="19" t="n"/>
      <c r="G118" s="9" t="n"/>
      <c r="H118" s="10" t="n"/>
      <c r="I118" s="80">
        <f>IF($F118&gt;0,$H118/$F118,"")</f>
        <v/>
      </c>
      <c r="J118" s="10" t="n"/>
      <c r="K118" s="45" t="n"/>
      <c r="L118" s="9">
        <f>IF($B118="","",IF(AND($G118&lt;&gt;"Vacant",$M118="",OR($K118&lt;&gt;"",$G118="Occupied")),"Yes","No"))</f>
        <v/>
      </c>
      <c r="M118" s="45" t="n"/>
      <c r="N118" s="24">
        <f>IF($B118="","",IF($G118="Vacant","Vacant",IF(L118="Yes","MTM",IF(M118="","",M118))))</f>
        <v/>
      </c>
      <c r="O118" s="9" t="n"/>
    </row>
    <row r="119">
      <c r="A119" s="1" t="n"/>
      <c r="B119" s="9" t="n"/>
      <c r="C119" s="9" t="n"/>
      <c r="D119" s="14" t="n"/>
      <c r="E119" s="56" t="n"/>
      <c r="F119" s="19" t="n"/>
      <c r="G119" s="9" t="n"/>
      <c r="H119" s="10" t="n"/>
      <c r="I119" s="80">
        <f>IF($F119&gt;0,$H119/$F119,"")</f>
        <v/>
      </c>
      <c r="J119" s="10" t="n"/>
      <c r="K119" s="45" t="n"/>
      <c r="L119" s="9">
        <f>IF($B119="","",IF(AND($G119&lt;&gt;"Vacant",$M119="",OR($K119&lt;&gt;"",$G119="Occupied")),"Yes","No"))</f>
        <v/>
      </c>
      <c r="M119" s="45" t="n"/>
      <c r="N119" s="24">
        <f>IF($B119="","",IF($G119="Vacant","Vacant",IF(L119="Yes","MTM",IF(M119="","",M119))))</f>
        <v/>
      </c>
      <c r="O119" s="9" t="n"/>
    </row>
    <row r="120">
      <c r="A120" s="1" t="n"/>
      <c r="B120" s="9" t="n"/>
      <c r="C120" s="9" t="n"/>
      <c r="D120" s="14" t="n"/>
      <c r="E120" s="56" t="n"/>
      <c r="F120" s="19" t="n"/>
      <c r="G120" s="9" t="n"/>
      <c r="H120" s="10" t="n"/>
      <c r="I120" s="80">
        <f>IF($F120&gt;0,$H120/$F120,"")</f>
        <v/>
      </c>
      <c r="J120" s="10" t="n"/>
      <c r="K120" s="45" t="n"/>
      <c r="L120" s="9">
        <f>IF($B120="","",IF(AND($G120&lt;&gt;"Vacant",$M120="",OR($K120&lt;&gt;"",$G120="Occupied")),"Yes","No"))</f>
        <v/>
      </c>
      <c r="M120" s="45" t="n"/>
      <c r="N120" s="24">
        <f>IF($B120="","",IF($G120="Vacant","Vacant",IF(L120="Yes","MTM",IF(M120="","",M120))))</f>
        <v/>
      </c>
      <c r="O120" s="9" t="n"/>
    </row>
    <row r="121">
      <c r="A121" s="1" t="n"/>
      <c r="B121" s="9" t="n"/>
      <c r="C121" s="9" t="n"/>
      <c r="D121" s="14" t="n"/>
      <c r="E121" s="56" t="n"/>
      <c r="F121" s="19" t="n"/>
      <c r="G121" s="9" t="n"/>
      <c r="H121" s="10" t="n"/>
      <c r="I121" s="80">
        <f>IF($F121&gt;0,$H121/$F121,"")</f>
        <v/>
      </c>
      <c r="J121" s="10" t="n"/>
      <c r="K121" s="45" t="n"/>
      <c r="L121" s="9">
        <f>IF($B121="","",IF(AND($G121&lt;&gt;"Vacant",$M121="",OR($K121&lt;&gt;"",$G121="Occupied")),"Yes","No"))</f>
        <v/>
      </c>
      <c r="M121" s="45" t="n"/>
      <c r="N121" s="24">
        <f>IF($B121="","",IF($G121="Vacant","Vacant",IF(L121="Yes","MTM",IF(M121="","",M121))))</f>
        <v/>
      </c>
      <c r="O121" s="9" t="n"/>
    </row>
    <row r="122">
      <c r="A122" s="1" t="n"/>
      <c r="B122" s="9" t="n"/>
      <c r="C122" s="9" t="n"/>
      <c r="D122" s="14" t="n"/>
      <c r="E122" s="56" t="n"/>
      <c r="F122" s="19" t="n"/>
      <c r="G122" s="9" t="n"/>
      <c r="H122" s="10" t="n"/>
      <c r="I122" s="80">
        <f>IF($F122&gt;0,$H122/$F122,"")</f>
        <v/>
      </c>
      <c r="J122" s="10" t="n"/>
      <c r="K122" s="45" t="n"/>
      <c r="L122" s="9">
        <f>IF($B122="","",IF(AND($G122&lt;&gt;"Vacant",$M122="",OR($K122&lt;&gt;"",$G122="Occupied")),"Yes","No"))</f>
        <v/>
      </c>
      <c r="M122" s="45" t="n"/>
      <c r="N122" s="24">
        <f>IF($B122="","",IF($G122="Vacant","Vacant",IF(L122="Yes","MTM",IF(M122="","",M122))))</f>
        <v/>
      </c>
      <c r="O122" s="9" t="n"/>
    </row>
    <row r="123">
      <c r="A123" s="1" t="n"/>
      <c r="B123" s="9" t="n"/>
      <c r="C123" s="9" t="n"/>
      <c r="D123" s="14" t="n"/>
      <c r="E123" s="56" t="n"/>
      <c r="F123" s="19" t="n"/>
      <c r="G123" s="9" t="n"/>
      <c r="H123" s="10" t="n"/>
      <c r="I123" s="80">
        <f>IF($F123&gt;0,$H123/$F123,"")</f>
        <v/>
      </c>
      <c r="J123" s="10" t="n"/>
      <c r="K123" s="45" t="n"/>
      <c r="L123" s="9">
        <f>IF($B123="","",IF(AND($G123&lt;&gt;"Vacant",$M123="",OR($K123&lt;&gt;"",$G123="Occupied")),"Yes","No"))</f>
        <v/>
      </c>
      <c r="M123" s="45" t="n"/>
      <c r="N123" s="24">
        <f>IF($B123="","",IF($G123="Vacant","Vacant",IF(L123="Yes","MTM",IF(M123="","",M123))))</f>
        <v/>
      </c>
      <c r="O123" s="9" t="n"/>
    </row>
    <row r="124">
      <c r="A124" s="1" t="n"/>
      <c r="B124" s="9" t="n"/>
      <c r="C124" s="9" t="n"/>
      <c r="D124" s="14" t="n"/>
      <c r="E124" s="56" t="n"/>
      <c r="F124" s="19" t="n"/>
      <c r="G124" s="9" t="n"/>
      <c r="H124" s="10" t="n"/>
      <c r="I124" s="80">
        <f>IF($F124&gt;0,$H124/$F124,"")</f>
        <v/>
      </c>
      <c r="J124" s="10" t="n"/>
      <c r="K124" s="45" t="n"/>
      <c r="L124" s="9">
        <f>IF($B124="","",IF(AND($G124&lt;&gt;"Vacant",$M124="",OR($K124&lt;&gt;"",$G124="Occupied")),"Yes","No"))</f>
        <v/>
      </c>
      <c r="M124" s="45" t="n"/>
      <c r="N124" s="24">
        <f>IF($B124="","",IF($G124="Vacant","Vacant",IF(L124="Yes","MTM",IF(M124="","",M124))))</f>
        <v/>
      </c>
      <c r="O124" s="9" t="n"/>
    </row>
    <row r="125">
      <c r="A125" s="1" t="n"/>
      <c r="B125" s="9" t="n"/>
      <c r="C125" s="9" t="n"/>
      <c r="D125" s="14" t="n"/>
      <c r="E125" s="56" t="n"/>
      <c r="F125" s="19" t="n"/>
      <c r="G125" s="9" t="n"/>
      <c r="H125" s="10" t="n"/>
      <c r="I125" s="80">
        <f>IF($F125&gt;0,$H125/$F125,"")</f>
        <v/>
      </c>
      <c r="J125" s="10" t="n"/>
      <c r="K125" s="45" t="n"/>
      <c r="L125" s="9">
        <f>IF($B125="","",IF(AND($G125&lt;&gt;"Vacant",$M125="",OR($K125&lt;&gt;"",$G125="Occupied")),"Yes","No"))</f>
        <v/>
      </c>
      <c r="M125" s="45" t="n"/>
      <c r="N125" s="24">
        <f>IF($B125="","",IF($G125="Vacant","Vacant",IF(L125="Yes","MTM",IF(M125="","",M125))))</f>
        <v/>
      </c>
      <c r="O125" s="9" t="n"/>
    </row>
    <row r="126">
      <c r="A126" s="1" t="n"/>
      <c r="B126" s="9" t="n"/>
      <c r="C126" s="9" t="n"/>
      <c r="D126" s="14" t="n"/>
      <c r="E126" s="56" t="n"/>
      <c r="F126" s="19" t="n"/>
      <c r="G126" s="9" t="n"/>
      <c r="H126" s="10" t="n"/>
      <c r="I126" s="80">
        <f>IF($F126&gt;0,$H126/$F126,"")</f>
        <v/>
      </c>
      <c r="J126" s="10" t="n"/>
      <c r="K126" s="45" t="n"/>
      <c r="L126" s="9">
        <f>IF($B126="","",IF(AND($G126&lt;&gt;"Vacant",$M126="",OR($K126&lt;&gt;"",$G126="Occupied")),"Yes","No"))</f>
        <v/>
      </c>
      <c r="M126" s="45" t="n"/>
      <c r="N126" s="24">
        <f>IF($B126="","",IF($G126="Vacant","Vacant",IF(L126="Yes","MTM",IF(M126="","",M126))))</f>
        <v/>
      </c>
      <c r="O126" s="9" t="n"/>
    </row>
    <row r="127">
      <c r="A127" s="1" t="n"/>
      <c r="B127" s="9" t="n"/>
      <c r="C127" s="9" t="n"/>
      <c r="D127" s="14" t="n"/>
      <c r="E127" s="56" t="n"/>
      <c r="F127" s="19" t="n"/>
      <c r="G127" s="9" t="n"/>
      <c r="H127" s="10" t="n"/>
      <c r="I127" s="80">
        <f>IF($F127&gt;0,$H127/$F127,"")</f>
        <v/>
      </c>
      <c r="J127" s="10" t="n"/>
      <c r="K127" s="45" t="n"/>
      <c r="L127" s="9">
        <f>IF($B127="","",IF(AND($G127&lt;&gt;"Vacant",$M127="",OR($K127&lt;&gt;"",$G127="Occupied")),"Yes","No"))</f>
        <v/>
      </c>
      <c r="M127" s="45" t="n"/>
      <c r="N127" s="24">
        <f>IF($B127="","",IF($G127="Vacant","Vacant",IF(L127="Yes","MTM",IF(M127="","",M127))))</f>
        <v/>
      </c>
      <c r="O127" s="9" t="n"/>
    </row>
    <row r="128">
      <c r="A128" s="1" t="n"/>
      <c r="B128" s="9" t="n"/>
      <c r="C128" s="9" t="n"/>
      <c r="D128" s="14" t="n"/>
      <c r="E128" s="56" t="n"/>
      <c r="F128" s="19" t="n"/>
      <c r="G128" s="9" t="n"/>
      <c r="H128" s="10" t="n"/>
      <c r="I128" s="80">
        <f>IF($F128&gt;0,$H128/$F128,"")</f>
        <v/>
      </c>
      <c r="J128" s="10" t="n"/>
      <c r="K128" s="45" t="n"/>
      <c r="L128" s="9">
        <f>IF($B128="","",IF(AND($G128&lt;&gt;"Vacant",$M128="",OR($K128&lt;&gt;"",$G128="Occupied")),"Yes","No"))</f>
        <v/>
      </c>
      <c r="M128" s="45" t="n"/>
      <c r="N128" s="24">
        <f>IF($B128="","",IF($G128="Vacant","Vacant",IF(L128="Yes","MTM",IF(M128="","",M128))))</f>
        <v/>
      </c>
      <c r="O128" s="9" t="n"/>
    </row>
    <row r="129">
      <c r="A129" s="1" t="n"/>
      <c r="B129" s="9" t="n"/>
      <c r="C129" s="9" t="n"/>
      <c r="D129" s="14" t="n"/>
      <c r="E129" s="56" t="n"/>
      <c r="F129" s="19" t="n"/>
      <c r="G129" s="9" t="n"/>
      <c r="H129" s="10" t="n"/>
      <c r="I129" s="80">
        <f>IF($F129&gt;0,$H129/$F129,"")</f>
        <v/>
      </c>
      <c r="J129" s="10" t="n"/>
      <c r="K129" s="45" t="n"/>
      <c r="L129" s="9">
        <f>IF($B129="","",IF(AND($G129&lt;&gt;"Vacant",$M129="",OR($K129&lt;&gt;"",$G129="Occupied")),"Yes","No"))</f>
        <v/>
      </c>
      <c r="M129" s="45" t="n"/>
      <c r="N129" s="24">
        <f>IF($B129="","",IF($G129="Vacant","Vacant",IF(L129="Yes","MTM",IF(M129="","",M129))))</f>
        <v/>
      </c>
      <c r="O129" s="9" t="n"/>
    </row>
    <row r="130">
      <c r="A130" s="1" t="n"/>
      <c r="B130" s="9" t="n"/>
      <c r="C130" s="9" t="n"/>
      <c r="D130" s="14" t="n"/>
      <c r="E130" s="56" t="n"/>
      <c r="F130" s="19" t="n"/>
      <c r="G130" s="9" t="n"/>
      <c r="H130" s="10" t="n"/>
      <c r="I130" s="80">
        <f>IF($F130&gt;0,$H130/$F130,"")</f>
        <v/>
      </c>
      <c r="J130" s="10" t="n"/>
      <c r="K130" s="45" t="n"/>
      <c r="L130" s="9">
        <f>IF($B130="","",IF(AND($G130&lt;&gt;"Vacant",$M130="",OR($K130&lt;&gt;"",$G130="Occupied")),"Yes","No"))</f>
        <v/>
      </c>
      <c r="M130" s="45" t="n"/>
      <c r="N130" s="24">
        <f>IF($B130="","",IF($G130="Vacant","Vacant",IF(L130="Yes","MTM",IF(M130="","",M130))))</f>
        <v/>
      </c>
      <c r="O130" s="9" t="n"/>
    </row>
    <row r="131">
      <c r="A131" s="1" t="n"/>
      <c r="B131" s="9" t="n"/>
      <c r="C131" s="9" t="n"/>
      <c r="D131" s="14" t="n"/>
      <c r="E131" s="56" t="n"/>
      <c r="F131" s="19" t="n"/>
      <c r="G131" s="9" t="n"/>
      <c r="H131" s="10" t="n"/>
      <c r="I131" s="80">
        <f>IF($F131&gt;0,$H131/$F131,"")</f>
        <v/>
      </c>
      <c r="J131" s="10" t="n"/>
      <c r="K131" s="45" t="n"/>
      <c r="L131" s="9">
        <f>IF($B131="","",IF(AND($G131&lt;&gt;"Vacant",$M131="",OR($K131&lt;&gt;"",$G131="Occupied")),"Yes","No"))</f>
        <v/>
      </c>
      <c r="M131" s="45" t="n"/>
      <c r="N131" s="24">
        <f>IF($B131="","",IF($G131="Vacant","Vacant",IF(L131="Yes","MTM",IF(M131="","",M131))))</f>
        <v/>
      </c>
      <c r="O131" s="9" t="n"/>
    </row>
    <row r="132">
      <c r="A132" s="1" t="n"/>
      <c r="B132" s="9" t="n"/>
      <c r="C132" s="9" t="n"/>
      <c r="D132" s="14" t="n"/>
      <c r="E132" s="56" t="n"/>
      <c r="F132" s="19" t="n"/>
      <c r="G132" s="9" t="n"/>
      <c r="H132" s="10" t="n"/>
      <c r="I132" s="80">
        <f>IF($F132&gt;0,$H132/$F132,"")</f>
        <v/>
      </c>
      <c r="J132" s="10" t="n"/>
      <c r="K132" s="45" t="n"/>
      <c r="L132" s="9">
        <f>IF($B132="","",IF(AND($G132&lt;&gt;"Vacant",$M132="",OR($K132&lt;&gt;"",$G132="Occupied")),"Yes","No"))</f>
        <v/>
      </c>
      <c r="M132" s="45" t="n"/>
      <c r="N132" s="24">
        <f>IF($B132="","",IF($G132="Vacant","Vacant",IF(L132="Yes","MTM",IF(M132="","",M132))))</f>
        <v/>
      </c>
      <c r="O132" s="9" t="n"/>
    </row>
    <row r="133">
      <c r="A133" s="1" t="n"/>
      <c r="B133" s="9" t="n"/>
      <c r="C133" s="9" t="n"/>
      <c r="D133" s="14" t="n"/>
      <c r="E133" s="56" t="n"/>
      <c r="F133" s="19" t="n"/>
      <c r="G133" s="9" t="n"/>
      <c r="H133" s="10" t="n"/>
      <c r="I133" s="80">
        <f>IF($F133&gt;0,$H133/$F133,"")</f>
        <v/>
      </c>
      <c r="J133" s="10" t="n"/>
      <c r="K133" s="45" t="n"/>
      <c r="L133" s="9">
        <f>IF($B133="","",IF(AND($G133&lt;&gt;"Vacant",$M133="",OR($K133&lt;&gt;"",$G133="Occupied")),"Yes","No"))</f>
        <v/>
      </c>
      <c r="M133" s="45" t="n"/>
      <c r="N133" s="24">
        <f>IF($B133="","",IF($G133="Vacant","Vacant",IF(L133="Yes","MTM",IF(M133="","",M133))))</f>
        <v/>
      </c>
      <c r="O133" s="9" t="n"/>
    </row>
    <row r="134">
      <c r="A134" s="1" t="n"/>
      <c r="B134" s="9" t="n"/>
      <c r="C134" s="9" t="n"/>
      <c r="D134" s="14" t="n"/>
      <c r="E134" s="56" t="n"/>
      <c r="F134" s="19" t="n"/>
      <c r="G134" s="9" t="n"/>
      <c r="H134" s="10" t="n"/>
      <c r="I134" s="80">
        <f>IF($F134&gt;0,$H134/$F134,"")</f>
        <v/>
      </c>
      <c r="J134" s="10" t="n"/>
      <c r="K134" s="45" t="n"/>
      <c r="L134" s="9">
        <f>IF($B134="","",IF(AND($G134&lt;&gt;"Vacant",$M134="",OR($K134&lt;&gt;"",$G134="Occupied")),"Yes","No"))</f>
        <v/>
      </c>
      <c r="M134" s="45" t="n"/>
      <c r="N134" s="24">
        <f>IF($B134="","",IF($G134="Vacant","Vacant",IF(L134="Yes","MTM",IF(M134="","",M134))))</f>
        <v/>
      </c>
      <c r="O134" s="9" t="n"/>
    </row>
    <row r="135">
      <c r="A135" s="1" t="n"/>
      <c r="B135" s="9" t="n"/>
      <c r="C135" s="9" t="n"/>
      <c r="D135" s="14" t="n"/>
      <c r="E135" s="56" t="n"/>
      <c r="F135" s="19" t="n"/>
      <c r="G135" s="9" t="n"/>
      <c r="H135" s="10" t="n"/>
      <c r="I135" s="80">
        <f>IF($F135&gt;0,$H135/$F135,"")</f>
        <v/>
      </c>
      <c r="J135" s="10" t="n"/>
      <c r="K135" s="45" t="n"/>
      <c r="L135" s="9">
        <f>IF($B135="","",IF(AND($G135&lt;&gt;"Vacant",$M135="",OR($K135&lt;&gt;"",$G135="Occupied")),"Yes","No"))</f>
        <v/>
      </c>
      <c r="M135" s="45" t="n"/>
      <c r="N135" s="24">
        <f>IF($B135="","",IF($G135="Vacant","Vacant",IF(L135="Yes","MTM",IF(M135="","",M135))))</f>
        <v/>
      </c>
      <c r="O135" s="9" t="n"/>
    </row>
    <row r="136">
      <c r="A136" s="1" t="n"/>
      <c r="B136" s="9" t="n"/>
      <c r="C136" s="9" t="n"/>
      <c r="D136" s="14" t="n"/>
      <c r="E136" s="56" t="n"/>
      <c r="F136" s="19" t="n"/>
      <c r="G136" s="9" t="n"/>
      <c r="H136" s="10" t="n"/>
      <c r="I136" s="80">
        <f>IF($F136&gt;0,$H136/$F136,"")</f>
        <v/>
      </c>
      <c r="J136" s="10" t="n"/>
      <c r="K136" s="45" t="n"/>
      <c r="L136" s="9">
        <f>IF($B136="","",IF(AND($G136&lt;&gt;"Vacant",$M136="",OR($K136&lt;&gt;"",$G136="Occupied")),"Yes","No"))</f>
        <v/>
      </c>
      <c r="M136" s="45" t="n"/>
      <c r="N136" s="24">
        <f>IF($B136="","",IF($G136="Vacant","Vacant",IF(L136="Yes","MTM",IF(M136="","",M136))))</f>
        <v/>
      </c>
      <c r="O136" s="9" t="n"/>
    </row>
    <row r="137">
      <c r="A137" s="1" t="n"/>
      <c r="B137" s="9" t="n"/>
      <c r="C137" s="9" t="n"/>
      <c r="D137" s="14" t="n"/>
      <c r="E137" s="56" t="n"/>
      <c r="F137" s="19" t="n"/>
      <c r="G137" s="9" t="n"/>
      <c r="H137" s="10" t="n"/>
      <c r="I137" s="80">
        <f>IF($F137&gt;0,$H137/$F137,"")</f>
        <v/>
      </c>
      <c r="J137" s="10" t="n"/>
      <c r="K137" s="45" t="n"/>
      <c r="L137" s="9">
        <f>IF($B137="","",IF(AND($G137&lt;&gt;"Vacant",$M137="",OR($K137&lt;&gt;"",$G137="Occupied")),"Yes","No"))</f>
        <v/>
      </c>
      <c r="M137" s="45" t="n"/>
      <c r="N137" s="24">
        <f>IF($B137="","",IF($G137="Vacant","Vacant",IF(L137="Yes","MTM",IF(M137="","",M137))))</f>
        <v/>
      </c>
      <c r="O137" s="9" t="n"/>
    </row>
    <row r="138">
      <c r="A138" s="1" t="n"/>
      <c r="B138" s="9" t="n"/>
      <c r="C138" s="9" t="n"/>
      <c r="D138" s="14" t="n"/>
      <c r="E138" s="56" t="n"/>
      <c r="F138" s="19" t="n"/>
      <c r="G138" s="9" t="n"/>
      <c r="H138" s="10" t="n"/>
      <c r="I138" s="80">
        <f>IF($F138&gt;0,$H138/$F138,"")</f>
        <v/>
      </c>
      <c r="J138" s="10" t="n"/>
      <c r="K138" s="45" t="n"/>
      <c r="L138" s="9">
        <f>IF($B138="","",IF(AND($G138&lt;&gt;"Vacant",$M138="",OR($K138&lt;&gt;"",$G138="Occupied")),"Yes","No"))</f>
        <v/>
      </c>
      <c r="M138" s="45" t="n"/>
      <c r="N138" s="24">
        <f>IF($B138="","",IF($G138="Vacant","Vacant",IF(L138="Yes","MTM",IF(M138="","",M138))))</f>
        <v/>
      </c>
      <c r="O138" s="9" t="n"/>
    </row>
    <row r="139">
      <c r="A139" s="1" t="n"/>
      <c r="B139" s="9" t="n"/>
      <c r="C139" s="9" t="n"/>
      <c r="D139" s="14" t="n"/>
      <c r="E139" s="56" t="n"/>
      <c r="F139" s="19" t="n"/>
      <c r="G139" s="9" t="n"/>
      <c r="H139" s="10" t="n"/>
      <c r="I139" s="80">
        <f>IF($F139&gt;0,$H139/$F139,"")</f>
        <v/>
      </c>
      <c r="J139" s="10" t="n"/>
      <c r="K139" s="45" t="n"/>
      <c r="L139" s="9">
        <f>IF($B139="","",IF(AND($G139&lt;&gt;"Vacant",$M139="",OR($K139&lt;&gt;"",$G139="Occupied")),"Yes","No"))</f>
        <v/>
      </c>
      <c r="M139" s="45" t="n"/>
      <c r="N139" s="24">
        <f>IF($B139="","",IF($G139="Vacant","Vacant",IF(L139="Yes","MTM",IF(M139="","",M139))))</f>
        <v/>
      </c>
      <c r="O139" s="9" t="n"/>
    </row>
    <row r="140">
      <c r="A140" s="1" t="n"/>
      <c r="B140" s="9" t="n"/>
      <c r="C140" s="9" t="n"/>
      <c r="D140" s="14" t="n"/>
      <c r="E140" s="56" t="n"/>
      <c r="F140" s="19" t="n"/>
      <c r="G140" s="9" t="n"/>
      <c r="H140" s="10" t="n"/>
      <c r="I140" s="80">
        <f>IF($F140&gt;0,$H140/$F140,"")</f>
        <v/>
      </c>
      <c r="J140" s="10" t="n"/>
      <c r="K140" s="45" t="n"/>
      <c r="L140" s="9">
        <f>IF($B140="","",IF(AND($G140&lt;&gt;"Vacant",$M140="",OR($K140&lt;&gt;"",$G140="Occupied")),"Yes","No"))</f>
        <v/>
      </c>
      <c r="M140" s="45" t="n"/>
      <c r="N140" s="24">
        <f>IF($B140="","",IF($G140="Vacant","Vacant",IF(L140="Yes","MTM",IF(M140="","",M140))))</f>
        <v/>
      </c>
      <c r="O140" s="9" t="n"/>
    </row>
    <row r="141">
      <c r="A141" s="1" t="n"/>
      <c r="B141" s="9" t="n"/>
      <c r="C141" s="9" t="n"/>
      <c r="D141" s="14" t="n"/>
      <c r="E141" s="56" t="n"/>
      <c r="F141" s="19" t="n"/>
      <c r="G141" s="9" t="n"/>
      <c r="H141" s="10" t="n"/>
      <c r="I141" s="80">
        <f>IF($F141&gt;0,$H141/$F141,"")</f>
        <v/>
      </c>
      <c r="J141" s="10" t="n"/>
      <c r="K141" s="45" t="n"/>
      <c r="L141" s="9">
        <f>IF($B141="","",IF(AND($G141&lt;&gt;"Vacant",$M141="",OR($K141&lt;&gt;"",$G141="Occupied")),"Yes","No"))</f>
        <v/>
      </c>
      <c r="M141" s="45" t="n"/>
      <c r="N141" s="24">
        <f>IF($B141="","",IF($G141="Vacant","Vacant",IF(L141="Yes","MTM",IF(M141="","",M141))))</f>
        <v/>
      </c>
      <c r="O141" s="9" t="n"/>
    </row>
    <row r="142">
      <c r="A142" s="1" t="n"/>
      <c r="B142" s="9" t="n"/>
      <c r="C142" s="9" t="n"/>
      <c r="D142" s="14" t="n"/>
      <c r="E142" s="56" t="n"/>
      <c r="F142" s="19" t="n"/>
      <c r="G142" s="9" t="n"/>
      <c r="H142" s="10" t="n"/>
      <c r="I142" s="80">
        <f>IF($F142&gt;0,$H142/$F142,"")</f>
        <v/>
      </c>
      <c r="J142" s="10" t="n"/>
      <c r="K142" s="45" t="n"/>
      <c r="L142" s="9">
        <f>IF($B142="","",IF(AND($G142&lt;&gt;"Vacant",$M142="",OR($K142&lt;&gt;"",$G142="Occupied")),"Yes","No"))</f>
        <v/>
      </c>
      <c r="M142" s="45" t="n"/>
      <c r="N142" s="24">
        <f>IF($B142="","",IF($G142="Vacant","Vacant",IF(L142="Yes","MTM",IF(M142="","",M142))))</f>
        <v/>
      </c>
      <c r="O142" s="9" t="n"/>
    </row>
    <row r="143">
      <c r="A143" s="1" t="n"/>
      <c r="B143" s="9" t="n"/>
      <c r="C143" s="9" t="n"/>
      <c r="D143" s="14" t="n"/>
      <c r="E143" s="56" t="n"/>
      <c r="F143" s="19" t="n"/>
      <c r="G143" s="9" t="n"/>
      <c r="H143" s="10" t="n"/>
      <c r="I143" s="80">
        <f>IF($F143&gt;0,$H143/$F143,"")</f>
        <v/>
      </c>
      <c r="J143" s="10" t="n"/>
      <c r="K143" s="45" t="n"/>
      <c r="L143" s="9">
        <f>IF($B143="","",IF(AND($G143&lt;&gt;"Vacant",$M143="",OR($K143&lt;&gt;"",$G143="Occupied")),"Yes","No"))</f>
        <v/>
      </c>
      <c r="M143" s="45" t="n"/>
      <c r="N143" s="24">
        <f>IF($B143="","",IF($G143="Vacant","Vacant",IF(L143="Yes","MTM",IF(M143="","",M143))))</f>
        <v/>
      </c>
      <c r="O143" s="9" t="n"/>
    </row>
    <row r="144">
      <c r="A144" s="1" t="n"/>
      <c r="B144" s="9" t="n"/>
      <c r="C144" s="9" t="n"/>
      <c r="D144" s="14" t="n"/>
      <c r="E144" s="56" t="n"/>
      <c r="F144" s="19" t="n"/>
      <c r="G144" s="9" t="n"/>
      <c r="H144" s="10" t="n"/>
      <c r="I144" s="80">
        <f>IF($F144&gt;0,$H144/$F144,"")</f>
        <v/>
      </c>
      <c r="J144" s="10" t="n"/>
      <c r="K144" s="45" t="n"/>
      <c r="L144" s="9">
        <f>IF($B144="","",IF(AND($G144&lt;&gt;"Vacant",$M144="",OR($K144&lt;&gt;"",$G144="Occupied")),"Yes","No"))</f>
        <v/>
      </c>
      <c r="M144" s="45" t="n"/>
      <c r="N144" s="24">
        <f>IF($B144="","",IF($G144="Vacant","Vacant",IF(L144="Yes","MTM",IF(M144="","",M144))))</f>
        <v/>
      </c>
      <c r="O144" s="9" t="n"/>
    </row>
    <row r="145">
      <c r="A145" s="1" t="n"/>
      <c r="B145" s="9" t="n"/>
      <c r="C145" s="9" t="n"/>
      <c r="D145" s="14" t="n"/>
      <c r="E145" s="56" t="n"/>
      <c r="F145" s="19" t="n"/>
      <c r="G145" s="9" t="n"/>
      <c r="H145" s="10" t="n"/>
      <c r="I145" s="80">
        <f>IF($F145&gt;0,$H145/$F145,"")</f>
        <v/>
      </c>
      <c r="J145" s="10" t="n"/>
      <c r="K145" s="45" t="n"/>
      <c r="L145" s="9">
        <f>IF($B145="","",IF(AND($G145&lt;&gt;"Vacant",$M145="",OR($K145&lt;&gt;"",$G145="Occupied")),"Yes","No"))</f>
        <v/>
      </c>
      <c r="M145" s="45" t="n"/>
      <c r="N145" s="24">
        <f>IF($B145="","",IF($G145="Vacant","Vacant",IF(L145="Yes","MTM",IF(M145="","",M145))))</f>
        <v/>
      </c>
      <c r="O145" s="9" t="n"/>
    </row>
    <row r="146">
      <c r="A146" s="1" t="n"/>
      <c r="B146" s="9" t="n"/>
      <c r="C146" s="9" t="n"/>
      <c r="D146" s="14" t="n"/>
      <c r="E146" s="56" t="n"/>
      <c r="F146" s="19" t="n"/>
      <c r="G146" s="9" t="n"/>
      <c r="H146" s="10" t="n"/>
      <c r="I146" s="80">
        <f>IF($F146&gt;0,$H146/$F146,"")</f>
        <v/>
      </c>
      <c r="J146" s="10" t="n"/>
      <c r="K146" s="45" t="n"/>
      <c r="L146" s="9">
        <f>IF($B146="","",IF(AND($G146&lt;&gt;"Vacant",$M146="",OR($K146&lt;&gt;"",$G146="Occupied")),"Yes","No"))</f>
        <v/>
      </c>
      <c r="M146" s="45" t="n"/>
      <c r="N146" s="24">
        <f>IF($B146="","",IF($G146="Vacant","Vacant",IF(L146="Yes","MTM",IF(M146="","",M146))))</f>
        <v/>
      </c>
      <c r="O146" s="9" t="n"/>
    </row>
    <row r="147">
      <c r="A147" s="1" t="n"/>
      <c r="B147" s="9" t="n"/>
      <c r="C147" s="9" t="n"/>
      <c r="D147" s="14" t="n"/>
      <c r="E147" s="56" t="n"/>
      <c r="F147" s="19" t="n"/>
      <c r="G147" s="9" t="n"/>
      <c r="H147" s="10" t="n"/>
      <c r="I147" s="80">
        <f>IF($F147&gt;0,$H147/$F147,"")</f>
        <v/>
      </c>
      <c r="J147" s="10" t="n"/>
      <c r="K147" s="45" t="n"/>
      <c r="L147" s="9">
        <f>IF($B147="","",IF(AND($G147&lt;&gt;"Vacant",$M147="",OR($K147&lt;&gt;"",$G147="Occupied")),"Yes","No"))</f>
        <v/>
      </c>
      <c r="M147" s="45" t="n"/>
      <c r="N147" s="24">
        <f>IF($B147="","",IF($G147="Vacant","Vacant",IF(L147="Yes","MTM",IF(M147="","",M147))))</f>
        <v/>
      </c>
      <c r="O147" s="9" t="n"/>
    </row>
    <row r="148">
      <c r="A148" s="1" t="n"/>
      <c r="B148" s="9" t="n"/>
      <c r="C148" s="9" t="n"/>
      <c r="D148" s="14" t="n"/>
      <c r="E148" s="56" t="n"/>
      <c r="F148" s="19" t="n"/>
      <c r="G148" s="9" t="n"/>
      <c r="H148" s="10" t="n"/>
      <c r="I148" s="80">
        <f>IF($F148&gt;0,$H148/$F148,"")</f>
        <v/>
      </c>
      <c r="J148" s="10" t="n"/>
      <c r="K148" s="45" t="n"/>
      <c r="L148" s="9">
        <f>IF($B148="","",IF(AND($G148&lt;&gt;"Vacant",$M148="",OR($K148&lt;&gt;"",$G148="Occupied")),"Yes","No"))</f>
        <v/>
      </c>
      <c r="M148" s="45" t="n"/>
      <c r="N148" s="24">
        <f>IF($B148="","",IF($G148="Vacant","Vacant",IF(L148="Yes","MTM",IF(M148="","",M148))))</f>
        <v/>
      </c>
      <c r="O148" s="9" t="n"/>
    </row>
    <row r="149">
      <c r="A149" s="1" t="n"/>
      <c r="B149" s="9" t="n"/>
      <c r="C149" s="9" t="n"/>
      <c r="D149" s="14" t="n"/>
      <c r="E149" s="56" t="n"/>
      <c r="F149" s="19" t="n"/>
      <c r="G149" s="9" t="n"/>
      <c r="H149" s="10" t="n"/>
      <c r="I149" s="80">
        <f>IF($F149&gt;0,$H149/$F149,"")</f>
        <v/>
      </c>
      <c r="J149" s="10" t="n"/>
      <c r="K149" s="45" t="n"/>
      <c r="L149" s="9">
        <f>IF($B149="","",IF(AND($G149&lt;&gt;"Vacant",$M149="",OR($K149&lt;&gt;"",$G149="Occupied")),"Yes","No"))</f>
        <v/>
      </c>
      <c r="M149" s="45" t="n"/>
      <c r="N149" s="24">
        <f>IF($B149="","",IF($G149="Vacant","Vacant",IF(L149="Yes","MTM",IF(M149="","",M149))))</f>
        <v/>
      </c>
      <c r="O149" s="9" t="n"/>
    </row>
    <row r="150">
      <c r="A150" s="1" t="n"/>
      <c r="B150" s="9" t="n"/>
      <c r="C150" s="9" t="n"/>
      <c r="D150" s="14" t="n"/>
      <c r="E150" s="56" t="n"/>
      <c r="F150" s="19" t="n"/>
      <c r="G150" s="9" t="n"/>
      <c r="H150" s="10" t="n"/>
      <c r="I150" s="80">
        <f>IF($F150&gt;0,$H150/$F150,"")</f>
        <v/>
      </c>
      <c r="J150" s="10" t="n"/>
      <c r="K150" s="45" t="n"/>
      <c r="L150" s="9">
        <f>IF($B150="","",IF(AND($G150&lt;&gt;"Vacant",$M150="",OR($K150&lt;&gt;"",$G150="Occupied")),"Yes","No"))</f>
        <v/>
      </c>
      <c r="M150" s="45" t="n"/>
      <c r="N150" s="24">
        <f>IF($B150="","",IF($G150="Vacant","Vacant",IF(L150="Yes","MTM",IF(M150="","",M150))))</f>
        <v/>
      </c>
      <c r="O150" s="9" t="n"/>
    </row>
    <row r="151">
      <c r="A151" s="1" t="n"/>
      <c r="B151" s="9" t="n"/>
      <c r="C151" s="9" t="n"/>
      <c r="D151" s="14" t="n"/>
      <c r="E151" s="56" t="n"/>
      <c r="F151" s="19" t="n"/>
      <c r="G151" s="9" t="n"/>
      <c r="H151" s="10" t="n"/>
      <c r="I151" s="80">
        <f>IF($F151&gt;0,$H151/$F151,"")</f>
        <v/>
      </c>
      <c r="J151" s="10" t="n"/>
      <c r="K151" s="45" t="n"/>
      <c r="L151" s="9">
        <f>IF($B151="","",IF(AND($G151&lt;&gt;"Vacant",$M151="",OR($K151&lt;&gt;"",$G151="Occupied")),"Yes","No"))</f>
        <v/>
      </c>
      <c r="M151" s="45" t="n"/>
      <c r="N151" s="24">
        <f>IF($B151="","",IF($G151="Vacant","Vacant",IF(L151="Yes","MTM",IF(M151="","",M151))))</f>
        <v/>
      </c>
      <c r="O151" s="9" t="n"/>
    </row>
    <row r="152">
      <c r="A152" s="1" t="n"/>
      <c r="B152" s="9" t="n"/>
      <c r="C152" s="9" t="n"/>
      <c r="D152" s="14" t="n"/>
      <c r="E152" s="56" t="n"/>
      <c r="F152" s="19" t="n"/>
      <c r="G152" s="9" t="n"/>
      <c r="H152" s="10" t="n"/>
      <c r="I152" s="80">
        <f>IF($F152&gt;0,$H152/$F152,"")</f>
        <v/>
      </c>
      <c r="J152" s="10" t="n"/>
      <c r="K152" s="45" t="n"/>
      <c r="L152" s="9">
        <f>IF($B152="","",IF(AND($G152&lt;&gt;"Vacant",$M152="",OR($K152&lt;&gt;"",$G152="Occupied")),"Yes","No"))</f>
        <v/>
      </c>
      <c r="M152" s="45" t="n"/>
      <c r="N152" s="24">
        <f>IF($B152="","",IF($G152="Vacant","Vacant",IF(L152="Yes","MTM",IF(M152="","",M152))))</f>
        <v/>
      </c>
      <c r="O152" s="9" t="n"/>
    </row>
    <row r="153">
      <c r="A153" s="1" t="n"/>
      <c r="B153" s="9" t="n"/>
      <c r="C153" s="9" t="n"/>
      <c r="D153" s="14" t="n"/>
      <c r="E153" s="56" t="n"/>
      <c r="F153" s="19" t="n"/>
      <c r="G153" s="9" t="n"/>
      <c r="H153" s="10" t="n"/>
      <c r="I153" s="80">
        <f>IF($F153&gt;0,$H153/$F153,"")</f>
        <v/>
      </c>
      <c r="J153" s="10" t="n"/>
      <c r="K153" s="45" t="n"/>
      <c r="L153" s="9">
        <f>IF($B153="","",IF(AND($G153&lt;&gt;"Vacant",$M153="",OR($K153&lt;&gt;"",$G153="Occupied")),"Yes","No"))</f>
        <v/>
      </c>
      <c r="M153" s="45" t="n"/>
      <c r="N153" s="24">
        <f>IF($B153="","",IF($G153="Vacant","Vacant",IF(L153="Yes","MTM",IF(M153="","",M153))))</f>
        <v/>
      </c>
      <c r="O153" s="9" t="n"/>
    </row>
    <row r="154">
      <c r="A154" s="1" t="n"/>
      <c r="B154" s="9" t="n"/>
      <c r="C154" s="9" t="n"/>
      <c r="D154" s="14" t="n"/>
      <c r="E154" s="56" t="n"/>
      <c r="F154" s="19" t="n"/>
      <c r="G154" s="9" t="n"/>
      <c r="H154" s="10" t="n"/>
      <c r="I154" s="80">
        <f>IF($F154&gt;0,$H154/$F154,"")</f>
        <v/>
      </c>
      <c r="J154" s="10" t="n"/>
      <c r="K154" s="45" t="n"/>
      <c r="L154" s="9">
        <f>IF($B154="","",IF(AND($G154&lt;&gt;"Vacant",$M154="",OR($K154&lt;&gt;"",$G154="Occupied")),"Yes","No"))</f>
        <v/>
      </c>
      <c r="M154" s="45" t="n"/>
      <c r="N154" s="24">
        <f>IF($B154="","",IF($G154="Vacant","Vacant",IF(L154="Yes","MTM",IF(M154="","",M154))))</f>
        <v/>
      </c>
      <c r="O154" s="9" t="n"/>
    </row>
    <row r="155">
      <c r="A155" s="1" t="n"/>
      <c r="B155" s="9" t="n"/>
      <c r="C155" s="9" t="n"/>
      <c r="D155" s="14" t="n"/>
      <c r="E155" s="56" t="n"/>
      <c r="F155" s="19" t="n"/>
      <c r="G155" s="9" t="n"/>
      <c r="H155" s="10" t="n"/>
      <c r="I155" s="80">
        <f>IF($F155&gt;0,$H155/$F155,"")</f>
        <v/>
      </c>
      <c r="J155" s="10" t="n"/>
      <c r="K155" s="45" t="n"/>
      <c r="L155" s="9">
        <f>IF($B155="","",IF(AND($G155&lt;&gt;"Vacant",$M155="",OR($K155&lt;&gt;"",$G155="Occupied")),"Yes","No"))</f>
        <v/>
      </c>
      <c r="M155" s="45" t="n"/>
      <c r="N155" s="24">
        <f>IF($B155="","",IF($G155="Vacant","Vacant",IF(L155="Yes","MTM",IF(M155="","",M155))))</f>
        <v/>
      </c>
      <c r="O155" s="9" t="n"/>
    </row>
    <row r="156">
      <c r="A156" s="1" t="n"/>
      <c r="B156" s="9" t="n"/>
      <c r="C156" s="9" t="n"/>
      <c r="D156" s="14" t="n"/>
      <c r="E156" s="56" t="n"/>
      <c r="F156" s="19" t="n"/>
      <c r="G156" s="9" t="n"/>
      <c r="H156" s="10" t="n"/>
      <c r="I156" s="80">
        <f>IF($F156&gt;0,$H156/$F156,"")</f>
        <v/>
      </c>
      <c r="J156" s="10" t="n"/>
      <c r="K156" s="45" t="n"/>
      <c r="L156" s="9">
        <f>IF($B156="","",IF(AND($G156&lt;&gt;"Vacant",$M156="",OR($K156&lt;&gt;"",$G156="Occupied")),"Yes","No"))</f>
        <v/>
      </c>
      <c r="M156" s="45" t="n"/>
      <c r="N156" s="24">
        <f>IF($B156="","",IF($G156="Vacant","Vacant",IF(L156="Yes","MTM",IF(M156="","",M156))))</f>
        <v/>
      </c>
      <c r="O156" s="9" t="n"/>
    </row>
    <row r="157">
      <c r="A157" s="1" t="n"/>
      <c r="B157" s="9" t="n"/>
      <c r="C157" s="9" t="n"/>
      <c r="D157" s="14" t="n"/>
      <c r="E157" s="56" t="n"/>
      <c r="F157" s="19" t="n"/>
      <c r="G157" s="9" t="n"/>
      <c r="H157" s="10" t="n"/>
      <c r="I157" s="80">
        <f>IF($F157&gt;0,$H157/$F157,"")</f>
        <v/>
      </c>
      <c r="J157" s="10" t="n"/>
      <c r="K157" s="45" t="n"/>
      <c r="L157" s="9">
        <f>IF($B157="","",IF(AND($G157&lt;&gt;"Vacant",$M157="",OR($K157&lt;&gt;"",$G157="Occupied")),"Yes","No"))</f>
        <v/>
      </c>
      <c r="M157" s="45" t="n"/>
      <c r="N157" s="24">
        <f>IF($B157="","",IF($G157="Vacant","Vacant",IF(L157="Yes","MTM",IF(M157="","",M157))))</f>
        <v/>
      </c>
      <c r="O157" s="9" t="n"/>
    </row>
    <row r="158">
      <c r="A158" s="1" t="n"/>
      <c r="B158" s="9" t="n"/>
      <c r="C158" s="9" t="n"/>
      <c r="D158" s="14" t="n"/>
      <c r="E158" s="56" t="n"/>
      <c r="F158" s="19" t="n"/>
      <c r="G158" s="9" t="n"/>
      <c r="H158" s="10" t="n"/>
      <c r="I158" s="80">
        <f>IF($F158&gt;0,$H158/$F158,"")</f>
        <v/>
      </c>
      <c r="J158" s="10" t="n"/>
      <c r="K158" s="45" t="n"/>
      <c r="L158" s="9">
        <f>IF($B158="","",IF(AND($G158&lt;&gt;"Vacant",$M158="",OR($K158&lt;&gt;"",$G158="Occupied")),"Yes","No"))</f>
        <v/>
      </c>
      <c r="M158" s="45" t="n"/>
      <c r="N158" s="24">
        <f>IF($B158="","",IF($G158="Vacant","Vacant",IF(L158="Yes","MTM",IF(M158="","",M158))))</f>
        <v/>
      </c>
      <c r="O158" s="9" t="n"/>
    </row>
    <row r="159">
      <c r="A159" s="1" t="n"/>
      <c r="B159" s="9" t="n"/>
      <c r="C159" s="9" t="n"/>
      <c r="D159" s="14" t="n"/>
      <c r="E159" s="56" t="n"/>
      <c r="F159" s="19" t="n"/>
      <c r="G159" s="9" t="n"/>
      <c r="H159" s="10" t="n"/>
      <c r="I159" s="80">
        <f>IF($F159&gt;0,$H159/$F159,"")</f>
        <v/>
      </c>
      <c r="J159" s="10" t="n"/>
      <c r="K159" s="45" t="n"/>
      <c r="L159" s="9">
        <f>IF($B159="","",IF(AND($G159&lt;&gt;"Vacant",$M159="",OR($K159&lt;&gt;"",$G159="Occupied")),"Yes","No"))</f>
        <v/>
      </c>
      <c r="M159" s="45" t="n"/>
      <c r="N159" s="24">
        <f>IF($B159="","",IF($G159="Vacant","Vacant",IF(L159="Yes","MTM",IF(M159="","",M159))))</f>
        <v/>
      </c>
      <c r="O159" s="9" t="n"/>
    </row>
    <row r="160">
      <c r="A160" s="1" t="n"/>
      <c r="B160" s="9" t="n"/>
      <c r="C160" s="9" t="n"/>
      <c r="D160" s="14" t="n"/>
      <c r="E160" s="56" t="n"/>
      <c r="F160" s="19" t="n"/>
      <c r="G160" s="9" t="n"/>
      <c r="H160" s="10" t="n"/>
      <c r="I160" s="80">
        <f>IF($F160&gt;0,$H160/$F160,"")</f>
        <v/>
      </c>
      <c r="J160" s="10" t="n"/>
      <c r="K160" s="45" t="n"/>
      <c r="L160" s="9">
        <f>IF($B160="","",IF(AND($G160&lt;&gt;"Vacant",$M160="",OR($K160&lt;&gt;"",$G160="Occupied")),"Yes","No"))</f>
        <v/>
      </c>
      <c r="M160" s="45" t="n"/>
      <c r="N160" s="24">
        <f>IF($B160="","",IF($G160="Vacant","Vacant",IF(L160="Yes","MTM",IF(M160="","",M160))))</f>
        <v/>
      </c>
      <c r="O160" s="9" t="n"/>
    </row>
    <row r="161">
      <c r="A161" s="1" t="n"/>
      <c r="B161" s="9" t="n"/>
      <c r="C161" s="9" t="n"/>
      <c r="D161" s="14" t="n"/>
      <c r="E161" s="56" t="n"/>
      <c r="F161" s="19" t="n"/>
      <c r="G161" s="9" t="n"/>
      <c r="H161" s="10" t="n"/>
      <c r="I161" s="80">
        <f>IF($F161&gt;0,$H161/$F161,"")</f>
        <v/>
      </c>
      <c r="J161" s="10" t="n"/>
      <c r="K161" s="45" t="n"/>
      <c r="L161" s="9">
        <f>IF($B161="","",IF(AND($G161&lt;&gt;"Vacant",$M161="",OR($K161&lt;&gt;"",$G161="Occupied")),"Yes","No"))</f>
        <v/>
      </c>
      <c r="M161" s="45" t="n"/>
      <c r="N161" s="24">
        <f>IF($B161="","",IF($G161="Vacant","Vacant",IF(L161="Yes","MTM",IF(M161="","",M161))))</f>
        <v/>
      </c>
      <c r="O161" s="9" t="n"/>
    </row>
    <row r="162">
      <c r="A162" s="1" t="n"/>
      <c r="B162" s="9" t="n"/>
      <c r="C162" s="9" t="n"/>
      <c r="D162" s="14" t="n"/>
      <c r="E162" s="56" t="n"/>
      <c r="F162" s="19" t="n"/>
      <c r="G162" s="9" t="n"/>
      <c r="H162" s="10" t="n"/>
      <c r="I162" s="80">
        <f>IF($F162&gt;0,$H162/$F162,"")</f>
        <v/>
      </c>
      <c r="J162" s="10" t="n"/>
      <c r="K162" s="45" t="n"/>
      <c r="L162" s="9">
        <f>IF($B162="","",IF(AND($G162&lt;&gt;"Vacant",$M162="",OR($K162&lt;&gt;"",$G162="Occupied")),"Yes","No"))</f>
        <v/>
      </c>
      <c r="M162" s="45" t="n"/>
      <c r="N162" s="24">
        <f>IF($B162="","",IF($G162="Vacant","Vacant",IF(L162="Yes","MTM",IF(M162="","",M162))))</f>
        <v/>
      </c>
      <c r="O162" s="9" t="n"/>
    </row>
    <row r="163">
      <c r="A163" s="1" t="n"/>
      <c r="B163" s="9" t="n"/>
      <c r="C163" s="9" t="n"/>
      <c r="D163" s="14" t="n"/>
      <c r="E163" s="56" t="n"/>
      <c r="F163" s="19" t="n"/>
      <c r="G163" s="9" t="n"/>
      <c r="H163" s="10" t="n"/>
      <c r="I163" s="80">
        <f>IF($F163&gt;0,$H163/$F163,"")</f>
        <v/>
      </c>
      <c r="J163" s="10" t="n"/>
      <c r="K163" s="45" t="n"/>
      <c r="L163" s="9">
        <f>IF($B163="","",IF(AND($G163&lt;&gt;"Vacant",$M163="",OR($K163&lt;&gt;"",$G163="Occupied")),"Yes","No"))</f>
        <v/>
      </c>
      <c r="M163" s="45" t="n"/>
      <c r="N163" s="24">
        <f>IF($B163="","",IF($G163="Vacant","Vacant",IF(L163="Yes","MTM",IF(M163="","",M163))))</f>
        <v/>
      </c>
      <c r="O163" s="9" t="n"/>
    </row>
    <row r="164">
      <c r="A164" s="1" t="n"/>
      <c r="B164" s="9" t="n"/>
      <c r="C164" s="9" t="n"/>
      <c r="D164" s="14" t="n"/>
      <c r="E164" s="56" t="n"/>
      <c r="F164" s="19" t="n"/>
      <c r="G164" s="9" t="n"/>
      <c r="H164" s="10" t="n"/>
      <c r="I164" s="80">
        <f>IF($F164&gt;0,$H164/$F164,"")</f>
        <v/>
      </c>
      <c r="J164" s="10" t="n"/>
      <c r="K164" s="45" t="n"/>
      <c r="L164" s="9">
        <f>IF($B164="","",IF(AND($G164&lt;&gt;"Vacant",$M164="",OR($K164&lt;&gt;"",$G164="Occupied")),"Yes","No"))</f>
        <v/>
      </c>
      <c r="M164" s="45" t="n"/>
      <c r="N164" s="24">
        <f>IF($B164="","",IF($G164="Vacant","Vacant",IF(L164="Yes","MTM",IF(M164="","",M164))))</f>
        <v/>
      </c>
      <c r="O164" s="9" t="n"/>
    </row>
    <row r="165">
      <c r="A165" s="1" t="n"/>
      <c r="B165" s="9" t="n"/>
      <c r="C165" s="9" t="n"/>
      <c r="D165" s="14" t="n"/>
      <c r="E165" s="56" t="n"/>
      <c r="F165" s="19" t="n"/>
      <c r="G165" s="9" t="n"/>
      <c r="H165" s="10" t="n"/>
      <c r="I165" s="80">
        <f>IF($F165&gt;0,$H165/$F165,"")</f>
        <v/>
      </c>
      <c r="J165" s="10" t="n"/>
      <c r="K165" s="45" t="n"/>
      <c r="L165" s="9">
        <f>IF($B165="","",IF(AND($G165&lt;&gt;"Vacant",$M165="",OR($K165&lt;&gt;"",$G165="Occupied")),"Yes","No"))</f>
        <v/>
      </c>
      <c r="M165" s="45" t="n"/>
      <c r="N165" s="24">
        <f>IF($B165="","",IF($G165="Vacant","Vacant",IF(L165="Yes","MTM",IF(M165="","",M165))))</f>
        <v/>
      </c>
      <c r="O165" s="9" t="n"/>
    </row>
    <row r="166">
      <c r="A166" s="1" t="n"/>
      <c r="B166" s="9" t="n"/>
      <c r="C166" s="9" t="n"/>
      <c r="D166" s="14" t="n"/>
      <c r="E166" s="56" t="n"/>
      <c r="F166" s="19" t="n"/>
      <c r="G166" s="9" t="n"/>
      <c r="H166" s="10" t="n"/>
      <c r="I166" s="80">
        <f>IF($F166&gt;0,$H166/$F166,"")</f>
        <v/>
      </c>
      <c r="J166" s="10" t="n"/>
      <c r="K166" s="45" t="n"/>
      <c r="L166" s="9">
        <f>IF($B166="","",IF(AND($G166&lt;&gt;"Vacant",$M166="",OR($K166&lt;&gt;"",$G166="Occupied")),"Yes","No"))</f>
        <v/>
      </c>
      <c r="M166" s="45" t="n"/>
      <c r="N166" s="24">
        <f>IF($B166="","",IF($G166="Vacant","Vacant",IF(L166="Yes","MTM",IF(M166="","",M166))))</f>
        <v/>
      </c>
      <c r="O166" s="9" t="n"/>
    </row>
    <row r="167">
      <c r="A167" s="1" t="n"/>
      <c r="B167" s="9" t="n"/>
      <c r="C167" s="9" t="n"/>
      <c r="D167" s="14" t="n"/>
      <c r="E167" s="56" t="n"/>
      <c r="F167" s="19" t="n"/>
      <c r="G167" s="9" t="n"/>
      <c r="H167" s="10" t="n"/>
      <c r="I167" s="80">
        <f>IF($F167&gt;0,$H167/$F167,"")</f>
        <v/>
      </c>
      <c r="J167" s="10" t="n"/>
      <c r="K167" s="45" t="n"/>
      <c r="L167" s="9">
        <f>IF($B167="","",IF(AND($G167&lt;&gt;"Vacant",$M167="",OR($K167&lt;&gt;"",$G167="Occupied")),"Yes","No"))</f>
        <v/>
      </c>
      <c r="M167" s="45" t="n"/>
      <c r="N167" s="24">
        <f>IF($B167="","",IF($G167="Vacant","Vacant",IF(L167="Yes","MTM",IF(M167="","",M167))))</f>
        <v/>
      </c>
      <c r="O167" s="9" t="n"/>
    </row>
    <row r="168">
      <c r="A168" s="1" t="n"/>
      <c r="B168" s="9" t="n"/>
      <c r="C168" s="9" t="n"/>
      <c r="D168" s="14" t="n"/>
      <c r="E168" s="56" t="n"/>
      <c r="F168" s="19" t="n"/>
      <c r="G168" s="9" t="n"/>
      <c r="H168" s="10" t="n"/>
      <c r="I168" s="80">
        <f>IF($F168&gt;0,$H168/$F168,"")</f>
        <v/>
      </c>
      <c r="J168" s="10" t="n"/>
      <c r="K168" s="45" t="n"/>
      <c r="L168" s="9">
        <f>IF($B168="","",IF(AND($G168&lt;&gt;"Vacant",$M168="",OR($K168&lt;&gt;"",$G168="Occupied")),"Yes","No"))</f>
        <v/>
      </c>
      <c r="M168" s="45" t="n"/>
      <c r="N168" s="24">
        <f>IF($B168="","",IF($G168="Vacant","Vacant",IF(L168="Yes","MTM",IF(M168="","",M168))))</f>
        <v/>
      </c>
      <c r="O168" s="9" t="n"/>
    </row>
    <row r="169">
      <c r="A169" s="1" t="n"/>
      <c r="B169" s="9" t="n"/>
      <c r="C169" s="9" t="n"/>
      <c r="D169" s="14" t="n"/>
      <c r="E169" s="56" t="n"/>
      <c r="F169" s="19" t="n"/>
      <c r="G169" s="9" t="n"/>
      <c r="H169" s="10" t="n"/>
      <c r="I169" s="80">
        <f>IF($F169&gt;0,$H169/$F169,"")</f>
        <v/>
      </c>
      <c r="J169" s="10" t="n"/>
      <c r="K169" s="45" t="n"/>
      <c r="L169" s="9">
        <f>IF($B169="","",IF(AND($G169&lt;&gt;"Vacant",$M169="",OR($K169&lt;&gt;"",$G169="Occupied")),"Yes","No"))</f>
        <v/>
      </c>
      <c r="M169" s="45" t="n"/>
      <c r="N169" s="24">
        <f>IF($B169="","",IF($G169="Vacant","Vacant",IF(L169="Yes","MTM",IF(M169="","",M169))))</f>
        <v/>
      </c>
      <c r="O169" s="9" t="n"/>
    </row>
    <row r="170">
      <c r="A170" s="1" t="n"/>
      <c r="B170" s="9" t="n"/>
      <c r="C170" s="9" t="n"/>
      <c r="D170" s="14" t="n"/>
      <c r="E170" s="56" t="n"/>
      <c r="F170" s="19" t="n"/>
      <c r="G170" s="9" t="n"/>
      <c r="H170" s="10" t="n"/>
      <c r="I170" s="80">
        <f>IF($F170&gt;0,$H170/$F170,"")</f>
        <v/>
      </c>
      <c r="J170" s="10" t="n"/>
      <c r="K170" s="45" t="n"/>
      <c r="L170" s="9">
        <f>IF($B170="","",IF(AND($G170&lt;&gt;"Vacant",$M170="",OR($K170&lt;&gt;"",$G170="Occupied")),"Yes","No"))</f>
        <v/>
      </c>
      <c r="M170" s="45" t="n"/>
      <c r="N170" s="24">
        <f>IF($B170="","",IF($G170="Vacant","Vacant",IF(L170="Yes","MTM",IF(M170="","",M170))))</f>
        <v/>
      </c>
      <c r="O170" s="9" t="n"/>
    </row>
    <row r="171">
      <c r="A171" s="1" t="n"/>
      <c r="B171" s="9" t="n"/>
      <c r="C171" s="9" t="n"/>
      <c r="D171" s="14" t="n"/>
      <c r="E171" s="56" t="n"/>
      <c r="F171" s="19" t="n"/>
      <c r="G171" s="9" t="n"/>
      <c r="H171" s="10" t="n"/>
      <c r="I171" s="80">
        <f>IF($F171&gt;0,$H171/$F171,"")</f>
        <v/>
      </c>
      <c r="J171" s="10" t="n"/>
      <c r="K171" s="45" t="n"/>
      <c r="L171" s="9">
        <f>IF($B171="","",IF(AND($G171&lt;&gt;"Vacant",$M171="",OR($K171&lt;&gt;"",$G171="Occupied")),"Yes","No"))</f>
        <v/>
      </c>
      <c r="M171" s="45" t="n"/>
      <c r="N171" s="24">
        <f>IF($B171="","",IF($G171="Vacant","Vacant",IF(L171="Yes","MTM",IF(M171="","",M171))))</f>
        <v/>
      </c>
      <c r="O171" s="9" t="n"/>
    </row>
    <row r="172">
      <c r="A172" s="1" t="n"/>
      <c r="B172" s="9" t="n"/>
      <c r="C172" s="9" t="n"/>
      <c r="D172" s="14" t="n"/>
      <c r="E172" s="56" t="n"/>
      <c r="F172" s="19" t="n"/>
      <c r="G172" s="9" t="n"/>
      <c r="H172" s="10" t="n"/>
      <c r="I172" s="80">
        <f>IF($F172&gt;0,$H172/$F172,"")</f>
        <v/>
      </c>
      <c r="J172" s="10" t="n"/>
      <c r="K172" s="45" t="n"/>
      <c r="L172" s="9">
        <f>IF($B172="","",IF(AND($G172&lt;&gt;"Vacant",$M172="",OR($K172&lt;&gt;"",$G172="Occupied")),"Yes","No"))</f>
        <v/>
      </c>
      <c r="M172" s="45" t="n"/>
      <c r="N172" s="24">
        <f>IF($B172="","",IF($G172="Vacant","Vacant",IF(L172="Yes","MTM",IF(M172="","",M172))))</f>
        <v/>
      </c>
      <c r="O172" s="9" t="n"/>
    </row>
    <row r="173">
      <c r="A173" s="1" t="n"/>
      <c r="B173" s="9" t="n"/>
      <c r="C173" s="9" t="n"/>
      <c r="D173" s="14" t="n"/>
      <c r="E173" s="56" t="n"/>
      <c r="F173" s="19" t="n"/>
      <c r="G173" s="9" t="n"/>
      <c r="H173" s="10" t="n"/>
      <c r="I173" s="80">
        <f>IF($F173&gt;0,$H173/$F173,"")</f>
        <v/>
      </c>
      <c r="J173" s="10" t="n"/>
      <c r="K173" s="45" t="n"/>
      <c r="L173" s="9">
        <f>IF($B173="","",IF(AND($G173&lt;&gt;"Vacant",$M173="",OR($K173&lt;&gt;"",$G173="Occupied")),"Yes","No"))</f>
        <v/>
      </c>
      <c r="M173" s="45" t="n"/>
      <c r="N173" s="24">
        <f>IF($B173="","",IF($G173="Vacant","Vacant",IF(L173="Yes","MTM",IF(M173="","",M173))))</f>
        <v/>
      </c>
      <c r="O173" s="9" t="n"/>
    </row>
    <row r="174">
      <c r="A174" s="1" t="n"/>
      <c r="B174" s="9" t="n"/>
      <c r="C174" s="9" t="n"/>
      <c r="D174" s="14" t="n"/>
      <c r="E174" s="56" t="n"/>
      <c r="F174" s="19" t="n"/>
      <c r="G174" s="9" t="n"/>
      <c r="H174" s="10" t="n"/>
      <c r="I174" s="80">
        <f>IF($F174&gt;0,$H174/$F174,"")</f>
        <v/>
      </c>
      <c r="J174" s="10" t="n"/>
      <c r="K174" s="45" t="n"/>
      <c r="L174" s="9">
        <f>IF($B174="","",IF(AND($G174&lt;&gt;"Vacant",$M174="",OR($K174&lt;&gt;"",$G174="Occupied")),"Yes","No"))</f>
        <v/>
      </c>
      <c r="M174" s="45" t="n"/>
      <c r="N174" s="24">
        <f>IF($B174="","",IF($G174="Vacant","Vacant",IF(L174="Yes","MTM",IF(M174="","",M174))))</f>
        <v/>
      </c>
      <c r="O174" s="9" t="n"/>
    </row>
    <row r="175">
      <c r="A175" s="1" t="n"/>
      <c r="B175" s="9" t="n"/>
      <c r="C175" s="9" t="n"/>
      <c r="D175" s="14" t="n"/>
      <c r="E175" s="56" t="n"/>
      <c r="F175" s="19" t="n"/>
      <c r="G175" s="9" t="n"/>
      <c r="H175" s="10" t="n"/>
      <c r="I175" s="80">
        <f>IF($F175&gt;0,$H175/$F175,"")</f>
        <v/>
      </c>
      <c r="J175" s="10" t="n"/>
      <c r="K175" s="45" t="n"/>
      <c r="L175" s="9">
        <f>IF($B175="","",IF(AND($G175&lt;&gt;"Vacant",$M175="",OR($K175&lt;&gt;"",$G175="Occupied")),"Yes","No"))</f>
        <v/>
      </c>
      <c r="M175" s="45" t="n"/>
      <c r="N175" s="24">
        <f>IF($B175="","",IF($G175="Vacant","Vacant",IF(L175="Yes","MTM",IF(M175="","",M175))))</f>
        <v/>
      </c>
      <c r="O175" s="9" t="n"/>
    </row>
    <row r="176">
      <c r="A176" s="1" t="n"/>
      <c r="B176" s="9" t="n"/>
      <c r="C176" s="9" t="n"/>
      <c r="D176" s="14" t="n"/>
      <c r="E176" s="56" t="n"/>
      <c r="F176" s="19" t="n"/>
      <c r="G176" s="9" t="n"/>
      <c r="H176" s="10" t="n"/>
      <c r="I176" s="80">
        <f>IF($F176&gt;0,$H176/$F176,"")</f>
        <v/>
      </c>
      <c r="J176" s="10" t="n"/>
      <c r="K176" s="45" t="n"/>
      <c r="L176" s="9">
        <f>IF($B176="","",IF(AND($G176&lt;&gt;"Vacant",$M176="",OR($K176&lt;&gt;"",$G176="Occupied")),"Yes","No"))</f>
        <v/>
      </c>
      <c r="M176" s="45" t="n"/>
      <c r="N176" s="24">
        <f>IF($B176="","",IF($G176="Vacant","Vacant",IF(L176="Yes","MTM",IF(M176="","",M176))))</f>
        <v/>
      </c>
      <c r="O176" s="9" t="n"/>
    </row>
    <row r="177">
      <c r="A177" s="1" t="n"/>
      <c r="B177" s="9" t="n"/>
      <c r="C177" s="9" t="n"/>
      <c r="D177" s="14" t="n"/>
      <c r="E177" s="56" t="n"/>
      <c r="F177" s="19" t="n"/>
      <c r="G177" s="9" t="n"/>
      <c r="H177" s="10" t="n"/>
      <c r="I177" s="80">
        <f>IF($F177&gt;0,$H177/$F177,"")</f>
        <v/>
      </c>
      <c r="J177" s="10" t="n"/>
      <c r="K177" s="45" t="n"/>
      <c r="L177" s="9">
        <f>IF($B177="","",IF(AND($G177&lt;&gt;"Vacant",$M177="",OR($K177&lt;&gt;"",$G177="Occupied")),"Yes","No"))</f>
        <v/>
      </c>
      <c r="M177" s="45" t="n"/>
      <c r="N177" s="24">
        <f>IF($B177="","",IF($G177="Vacant","Vacant",IF(L177="Yes","MTM",IF(M177="","",M177))))</f>
        <v/>
      </c>
      <c r="O177" s="9" t="n"/>
    </row>
    <row r="178">
      <c r="A178" s="1" t="n"/>
      <c r="B178" s="9" t="n"/>
      <c r="C178" s="9" t="n"/>
      <c r="D178" s="14" t="n"/>
      <c r="E178" s="56" t="n"/>
      <c r="F178" s="19" t="n"/>
      <c r="G178" s="9" t="n"/>
      <c r="H178" s="10" t="n"/>
      <c r="I178" s="80">
        <f>IF($F178&gt;0,$H178/$F178,"")</f>
        <v/>
      </c>
      <c r="J178" s="10" t="n"/>
      <c r="K178" s="45" t="n"/>
      <c r="L178" s="9">
        <f>IF($B178="","",IF(AND($G178&lt;&gt;"Vacant",$M178="",OR($K178&lt;&gt;"",$G178="Occupied")),"Yes","No"))</f>
        <v/>
      </c>
      <c r="M178" s="45" t="n"/>
      <c r="N178" s="24">
        <f>IF($B178="","",IF($G178="Vacant","Vacant",IF(L178="Yes","MTM",IF(M178="","",M178))))</f>
        <v/>
      </c>
      <c r="O178" s="9" t="n"/>
    </row>
    <row r="179">
      <c r="A179" s="1" t="n"/>
      <c r="B179" s="9" t="n"/>
      <c r="C179" s="9" t="n"/>
      <c r="D179" s="14" t="n"/>
      <c r="E179" s="56" t="n"/>
      <c r="F179" s="19" t="n"/>
      <c r="G179" s="9" t="n"/>
      <c r="H179" s="10" t="n"/>
      <c r="I179" s="80">
        <f>IF($F179&gt;0,$H179/$F179,"")</f>
        <v/>
      </c>
      <c r="J179" s="10" t="n"/>
      <c r="K179" s="45" t="n"/>
      <c r="L179" s="9">
        <f>IF($B179="","",IF(AND($G179&lt;&gt;"Vacant",$M179="",OR($K179&lt;&gt;"",$G179="Occupied")),"Yes","No"))</f>
        <v/>
      </c>
      <c r="M179" s="45" t="n"/>
      <c r="N179" s="24">
        <f>IF($B179="","",IF($G179="Vacant","Vacant",IF(L179="Yes","MTM",IF(M179="","",M179))))</f>
        <v/>
      </c>
      <c r="O179" s="9" t="n"/>
    </row>
    <row r="180">
      <c r="A180" s="1" t="n"/>
      <c r="B180" s="9" t="n"/>
      <c r="C180" s="9" t="n"/>
      <c r="D180" s="14" t="n"/>
      <c r="E180" s="56" t="n"/>
      <c r="F180" s="19" t="n"/>
      <c r="G180" s="9" t="n"/>
      <c r="H180" s="10" t="n"/>
      <c r="I180" s="80">
        <f>IF($F180&gt;0,$H180/$F180,"")</f>
        <v/>
      </c>
      <c r="J180" s="10" t="n"/>
      <c r="K180" s="45" t="n"/>
      <c r="L180" s="9">
        <f>IF($B180="","",IF(AND($G180&lt;&gt;"Vacant",$M180="",OR($K180&lt;&gt;"",$G180="Occupied")),"Yes","No"))</f>
        <v/>
      </c>
      <c r="M180" s="45" t="n"/>
      <c r="N180" s="24">
        <f>IF($B180="","",IF($G180="Vacant","Vacant",IF(L180="Yes","MTM",IF(M180="","",M180))))</f>
        <v/>
      </c>
      <c r="O180" s="9" t="n"/>
    </row>
    <row r="181">
      <c r="A181" s="1" t="n"/>
      <c r="B181" s="9" t="n"/>
      <c r="C181" s="9" t="n"/>
      <c r="D181" s="14" t="n"/>
      <c r="E181" s="56" t="n"/>
      <c r="F181" s="19" t="n"/>
      <c r="G181" s="9" t="n"/>
      <c r="H181" s="10" t="n"/>
      <c r="I181" s="80">
        <f>IF($F181&gt;0,$H181/$F181,"")</f>
        <v/>
      </c>
      <c r="J181" s="10" t="n"/>
      <c r="K181" s="45" t="n"/>
      <c r="L181" s="9">
        <f>IF($B181="","",IF(AND($G181&lt;&gt;"Vacant",$M181="",OR($K181&lt;&gt;"",$G181="Occupied")),"Yes","No"))</f>
        <v/>
      </c>
      <c r="M181" s="45" t="n"/>
      <c r="N181" s="24">
        <f>IF($B181="","",IF($G181="Vacant","Vacant",IF(L181="Yes","MTM",IF(M181="","",M181))))</f>
        <v/>
      </c>
      <c r="O181" s="9" t="n"/>
    </row>
    <row r="182">
      <c r="A182" s="1" t="n"/>
      <c r="B182" s="9" t="n"/>
      <c r="C182" s="9" t="n"/>
      <c r="D182" s="14" t="n"/>
      <c r="E182" s="56" t="n"/>
      <c r="F182" s="19" t="n"/>
      <c r="G182" s="9" t="n"/>
      <c r="H182" s="10" t="n"/>
      <c r="I182" s="80">
        <f>IF($F182&gt;0,$H182/$F182,"")</f>
        <v/>
      </c>
      <c r="J182" s="10" t="n"/>
      <c r="K182" s="45" t="n"/>
      <c r="L182" s="9">
        <f>IF($B182="","",IF(AND($G182&lt;&gt;"Vacant",$M182="",OR($K182&lt;&gt;"",$G182="Occupied")),"Yes","No"))</f>
        <v/>
      </c>
      <c r="M182" s="45" t="n"/>
      <c r="N182" s="24">
        <f>IF($B182="","",IF($G182="Vacant","Vacant",IF(L182="Yes","MTM",IF(M182="","",M182))))</f>
        <v/>
      </c>
      <c r="O182" s="9" t="n"/>
    </row>
    <row r="183">
      <c r="A183" s="1" t="n"/>
      <c r="B183" s="9" t="n"/>
      <c r="C183" s="9" t="n"/>
      <c r="D183" s="14" t="n"/>
      <c r="E183" s="56" t="n"/>
      <c r="F183" s="19" t="n"/>
      <c r="G183" s="9" t="n"/>
      <c r="H183" s="10" t="n"/>
      <c r="I183" s="80">
        <f>IF($F183&gt;0,$H183/$F183,"")</f>
        <v/>
      </c>
      <c r="J183" s="10" t="n"/>
      <c r="K183" s="45" t="n"/>
      <c r="L183" s="9">
        <f>IF($B183="","",IF(AND($G183&lt;&gt;"Vacant",$M183="",OR($K183&lt;&gt;"",$G183="Occupied")),"Yes","No"))</f>
        <v/>
      </c>
      <c r="M183" s="45" t="n"/>
      <c r="N183" s="24">
        <f>IF($B183="","",IF($G183="Vacant","Vacant",IF(L183="Yes","MTM",IF(M183="","",M183))))</f>
        <v/>
      </c>
      <c r="O183" s="9" t="n"/>
    </row>
    <row r="184">
      <c r="A184" s="1" t="n"/>
      <c r="B184" s="9" t="n"/>
      <c r="C184" s="9" t="n"/>
      <c r="D184" s="14" t="n"/>
      <c r="E184" s="56" t="n"/>
      <c r="F184" s="19" t="n"/>
      <c r="G184" s="9" t="n"/>
      <c r="H184" s="10" t="n"/>
      <c r="I184" s="80">
        <f>IF($F184&gt;0,$H184/$F184,"")</f>
        <v/>
      </c>
      <c r="J184" s="10" t="n"/>
      <c r="K184" s="45" t="n"/>
      <c r="L184" s="9">
        <f>IF($B184="","",IF(AND($G184&lt;&gt;"Vacant",$M184="",OR($K184&lt;&gt;"",$G184="Occupied")),"Yes","No"))</f>
        <v/>
      </c>
      <c r="M184" s="45" t="n"/>
      <c r="N184" s="24">
        <f>IF($B184="","",IF($G184="Vacant","Vacant",IF(L184="Yes","MTM",IF(M184="","",M184))))</f>
        <v/>
      </c>
      <c r="O184" s="9" t="n"/>
    </row>
    <row r="185">
      <c r="A185" s="1" t="n"/>
      <c r="B185" s="9" t="n"/>
      <c r="C185" s="9" t="n"/>
      <c r="D185" s="14" t="n"/>
      <c r="E185" s="56" t="n"/>
      <c r="F185" s="19" t="n"/>
      <c r="G185" s="9" t="n"/>
      <c r="H185" s="10" t="n"/>
      <c r="I185" s="80">
        <f>IF($F185&gt;0,$H185/$F185,"")</f>
        <v/>
      </c>
      <c r="J185" s="10" t="n"/>
      <c r="K185" s="45" t="n"/>
      <c r="L185" s="9">
        <f>IF($B185="","",IF(AND($G185&lt;&gt;"Vacant",$M185="",OR($K185&lt;&gt;"",$G185="Occupied")),"Yes","No"))</f>
        <v/>
      </c>
      <c r="M185" s="45" t="n"/>
      <c r="N185" s="24">
        <f>IF($B185="","",IF($G185="Vacant","Vacant",IF(L185="Yes","MTM",IF(M185="","",M185))))</f>
        <v/>
      </c>
      <c r="O185" s="9" t="n"/>
    </row>
    <row r="186">
      <c r="A186" s="1" t="n"/>
      <c r="B186" s="9" t="n"/>
      <c r="C186" s="9" t="n"/>
      <c r="D186" s="14" t="n"/>
      <c r="E186" s="56" t="n"/>
      <c r="F186" s="19" t="n"/>
      <c r="G186" s="9" t="n"/>
      <c r="H186" s="10" t="n"/>
      <c r="I186" s="80">
        <f>IF($F186&gt;0,$H186/$F186,"")</f>
        <v/>
      </c>
      <c r="J186" s="10" t="n"/>
      <c r="K186" s="45" t="n"/>
      <c r="L186" s="9">
        <f>IF($B186="","",IF(AND($G186&lt;&gt;"Vacant",$M186="",OR($K186&lt;&gt;"",$G186="Occupied")),"Yes","No"))</f>
        <v/>
      </c>
      <c r="M186" s="45" t="n"/>
      <c r="N186" s="24">
        <f>IF($B186="","",IF($G186="Vacant","Vacant",IF(L186="Yes","MTM",IF(M186="","",M186))))</f>
        <v/>
      </c>
      <c r="O186" s="9" t="n"/>
    </row>
    <row r="187">
      <c r="A187" s="1" t="n"/>
      <c r="B187" s="9" t="n"/>
      <c r="C187" s="9" t="n"/>
      <c r="D187" s="14" t="n"/>
      <c r="E187" s="56" t="n"/>
      <c r="F187" s="19" t="n"/>
      <c r="G187" s="9" t="n"/>
      <c r="H187" s="10" t="n"/>
      <c r="I187" s="80">
        <f>IF($F187&gt;0,$H187/$F187,"")</f>
        <v/>
      </c>
      <c r="J187" s="10" t="n"/>
      <c r="K187" s="45" t="n"/>
      <c r="L187" s="9">
        <f>IF($B187="","",IF(AND($G187&lt;&gt;"Vacant",$M187="",OR($K187&lt;&gt;"",$G187="Occupied")),"Yes","No"))</f>
        <v/>
      </c>
      <c r="M187" s="45" t="n"/>
      <c r="N187" s="24">
        <f>IF($B187="","",IF($G187="Vacant","Vacant",IF(L187="Yes","MTM",IF(M187="","",M187))))</f>
        <v/>
      </c>
      <c r="O187" s="9" t="n"/>
    </row>
    <row r="188">
      <c r="A188" s="1" t="n"/>
      <c r="B188" s="9" t="n"/>
      <c r="C188" s="9" t="n"/>
      <c r="D188" s="14" t="n"/>
      <c r="E188" s="56" t="n"/>
      <c r="F188" s="19" t="n"/>
      <c r="G188" s="9" t="n"/>
      <c r="H188" s="10" t="n"/>
      <c r="I188" s="80">
        <f>IF($F188&gt;0,$H188/$F188,"")</f>
        <v/>
      </c>
      <c r="J188" s="10" t="n"/>
      <c r="K188" s="45" t="n"/>
      <c r="L188" s="9">
        <f>IF($B188="","",IF(AND($G188&lt;&gt;"Vacant",$M188="",OR($K188&lt;&gt;"",$G188="Occupied")),"Yes","No"))</f>
        <v/>
      </c>
      <c r="M188" s="45" t="n"/>
      <c r="N188" s="24">
        <f>IF($B188="","",IF($G188="Vacant","Vacant",IF(L188="Yes","MTM",IF(M188="","",M188))))</f>
        <v/>
      </c>
      <c r="O188" s="9" t="n"/>
    </row>
    <row r="189">
      <c r="A189" s="1" t="n"/>
      <c r="B189" s="9" t="n"/>
      <c r="C189" s="9" t="n"/>
      <c r="D189" s="14" t="n"/>
      <c r="E189" s="56" t="n"/>
      <c r="F189" s="19" t="n"/>
      <c r="G189" s="9" t="n"/>
      <c r="H189" s="10" t="n"/>
      <c r="I189" s="80">
        <f>IF($F189&gt;0,$H189/$F189,"")</f>
        <v/>
      </c>
      <c r="J189" s="10" t="n"/>
      <c r="K189" s="45" t="n"/>
      <c r="L189" s="9">
        <f>IF($B189="","",IF(AND($G189&lt;&gt;"Vacant",$M189="",OR($K189&lt;&gt;"",$G189="Occupied")),"Yes","No"))</f>
        <v/>
      </c>
      <c r="M189" s="45" t="n"/>
      <c r="N189" s="24">
        <f>IF($B189="","",IF($G189="Vacant","Vacant",IF(L189="Yes","MTM",IF(M189="","",M189))))</f>
        <v/>
      </c>
      <c r="O189" s="9" t="n"/>
    </row>
    <row r="190">
      <c r="A190" s="1" t="n"/>
      <c r="B190" s="9" t="n"/>
      <c r="C190" s="9" t="n"/>
      <c r="D190" s="14" t="n"/>
      <c r="E190" s="56" t="n"/>
      <c r="F190" s="19" t="n"/>
      <c r="G190" s="9" t="n"/>
      <c r="H190" s="10" t="n"/>
      <c r="I190" s="80">
        <f>IF($F190&gt;0,$H190/$F190,"")</f>
        <v/>
      </c>
      <c r="J190" s="10" t="n"/>
      <c r="K190" s="45" t="n"/>
      <c r="L190" s="9">
        <f>IF($B190="","",IF(AND($G190&lt;&gt;"Vacant",$M190="",OR($K190&lt;&gt;"",$G190="Occupied")),"Yes","No"))</f>
        <v/>
      </c>
      <c r="M190" s="45" t="n"/>
      <c r="N190" s="24">
        <f>IF($B190="","",IF($G190="Vacant","Vacant",IF(L190="Yes","MTM",IF(M190="","",M190))))</f>
        <v/>
      </c>
      <c r="O190" s="9" t="n"/>
    </row>
    <row r="191">
      <c r="A191" s="1" t="n"/>
      <c r="B191" s="9" t="n"/>
      <c r="C191" s="9" t="n"/>
      <c r="D191" s="14" t="n"/>
      <c r="E191" s="56" t="n"/>
      <c r="F191" s="19" t="n"/>
      <c r="G191" s="9" t="n"/>
      <c r="H191" s="10" t="n"/>
      <c r="I191" s="80">
        <f>IF($F191&gt;0,$H191/$F191,"")</f>
        <v/>
      </c>
      <c r="J191" s="10" t="n"/>
      <c r="K191" s="45" t="n"/>
      <c r="L191" s="9">
        <f>IF($B191="","",IF(AND($G191&lt;&gt;"Vacant",$M191="",OR($K191&lt;&gt;"",$G191="Occupied")),"Yes","No"))</f>
        <v/>
      </c>
      <c r="M191" s="45" t="n"/>
      <c r="N191" s="24">
        <f>IF($B191="","",IF($G191="Vacant","Vacant",IF(L191="Yes","MTM",IF(M191="","",M191))))</f>
        <v/>
      </c>
      <c r="O191" s="9" t="n"/>
    </row>
    <row r="192">
      <c r="A192" s="1" t="n"/>
      <c r="B192" s="9" t="n"/>
      <c r="C192" s="9" t="n"/>
      <c r="D192" s="14" t="n"/>
      <c r="E192" s="56" t="n"/>
      <c r="F192" s="19" t="n"/>
      <c r="G192" s="9" t="n"/>
      <c r="H192" s="10" t="n"/>
      <c r="I192" s="80">
        <f>IF($F192&gt;0,$H192/$F192,"")</f>
        <v/>
      </c>
      <c r="J192" s="10" t="n"/>
      <c r="K192" s="45" t="n"/>
      <c r="L192" s="9">
        <f>IF($B192="","",IF(AND($G192&lt;&gt;"Vacant",$M192="",OR($K192&lt;&gt;"",$G192="Occupied")),"Yes","No"))</f>
        <v/>
      </c>
      <c r="M192" s="45" t="n"/>
      <c r="N192" s="24">
        <f>IF($B192="","",IF($G192="Vacant","Vacant",IF(L192="Yes","MTM",IF(M192="","",M192))))</f>
        <v/>
      </c>
      <c r="O192" s="9" t="n"/>
    </row>
    <row r="193">
      <c r="A193" s="1" t="n"/>
      <c r="B193" s="9" t="n"/>
      <c r="C193" s="9" t="n"/>
      <c r="D193" s="14" t="n"/>
      <c r="E193" s="56" t="n"/>
      <c r="F193" s="19" t="n"/>
      <c r="G193" s="9" t="n"/>
      <c r="H193" s="10" t="n"/>
      <c r="I193" s="80">
        <f>IF($F193&gt;0,$H193/$F193,"")</f>
        <v/>
      </c>
      <c r="J193" s="10" t="n"/>
      <c r="K193" s="45" t="n"/>
      <c r="L193" s="9">
        <f>IF($B193="","",IF(AND($G193&lt;&gt;"Vacant",$M193="",OR($K193&lt;&gt;"",$G193="Occupied")),"Yes","No"))</f>
        <v/>
      </c>
      <c r="M193" s="45" t="n"/>
      <c r="N193" s="24">
        <f>IF($B193="","",IF($G193="Vacant","Vacant",IF(L193="Yes","MTM",IF(M193="","",M193))))</f>
        <v/>
      </c>
      <c r="O193" s="9" t="n"/>
    </row>
    <row r="194">
      <c r="A194" s="1" t="n"/>
      <c r="B194" s="9" t="n"/>
      <c r="C194" s="9" t="n"/>
      <c r="D194" s="14" t="n"/>
      <c r="E194" s="56" t="n"/>
      <c r="F194" s="19" t="n"/>
      <c r="G194" s="9" t="n"/>
      <c r="H194" s="10" t="n"/>
      <c r="I194" s="80">
        <f>IF($F194&gt;0,$H194/$F194,"")</f>
        <v/>
      </c>
      <c r="J194" s="10" t="n"/>
      <c r="K194" s="45" t="n"/>
      <c r="L194" s="9">
        <f>IF($B194="","",IF(AND($G194&lt;&gt;"Vacant",$M194="",OR($K194&lt;&gt;"",$G194="Occupied")),"Yes","No"))</f>
        <v/>
      </c>
      <c r="M194" s="45" t="n"/>
      <c r="N194" s="24">
        <f>IF($B194="","",IF($G194="Vacant","Vacant",IF(L194="Yes","MTM",IF(M194="","",M194))))</f>
        <v/>
      </c>
      <c r="O194" s="9" t="n"/>
    </row>
    <row r="195">
      <c r="A195" s="1" t="n"/>
      <c r="B195" s="9" t="n"/>
      <c r="C195" s="9" t="n"/>
      <c r="D195" s="14" t="n"/>
      <c r="E195" s="56" t="n"/>
      <c r="F195" s="19" t="n"/>
      <c r="G195" s="9" t="n"/>
      <c r="H195" s="10" t="n"/>
      <c r="I195" s="80">
        <f>IF($F195&gt;0,$H195/$F195,"")</f>
        <v/>
      </c>
      <c r="J195" s="10" t="n"/>
      <c r="K195" s="45" t="n"/>
      <c r="L195" s="9">
        <f>IF($B195="","",IF(AND($G195&lt;&gt;"Vacant",$M195="",OR($K195&lt;&gt;"",$G195="Occupied")),"Yes","No"))</f>
        <v/>
      </c>
      <c r="M195" s="45" t="n"/>
      <c r="N195" s="24">
        <f>IF($B195="","",IF($G195="Vacant","Vacant",IF(L195="Yes","MTM",IF(M195="","",M195))))</f>
        <v/>
      </c>
      <c r="O195" s="9" t="n"/>
    </row>
    <row r="196">
      <c r="A196" s="1" t="n"/>
      <c r="B196" s="9" t="n"/>
      <c r="C196" s="9" t="n"/>
      <c r="D196" s="14" t="n"/>
      <c r="E196" s="56" t="n"/>
      <c r="F196" s="19" t="n"/>
      <c r="G196" s="9" t="n"/>
      <c r="H196" s="10" t="n"/>
      <c r="I196" s="80">
        <f>IF($F196&gt;0,$H196/$F196,"")</f>
        <v/>
      </c>
      <c r="J196" s="10" t="n"/>
      <c r="K196" s="45" t="n"/>
      <c r="L196" s="9">
        <f>IF($B196="","",IF(AND($G196&lt;&gt;"Vacant",$M196="",OR($K196&lt;&gt;"",$G196="Occupied")),"Yes","No"))</f>
        <v/>
      </c>
      <c r="M196" s="45" t="n"/>
      <c r="N196" s="24">
        <f>IF($B196="","",IF($G196="Vacant","Vacant",IF(L196="Yes","MTM",IF(M196="","",M196))))</f>
        <v/>
      </c>
      <c r="O196" s="9" t="n"/>
    </row>
    <row r="197">
      <c r="A197" s="1" t="n"/>
      <c r="B197" s="9" t="n"/>
      <c r="C197" s="9" t="n"/>
      <c r="D197" s="14" t="n"/>
      <c r="E197" s="56" t="n"/>
      <c r="F197" s="19" t="n"/>
      <c r="G197" s="9" t="n"/>
      <c r="H197" s="10" t="n"/>
      <c r="I197" s="80">
        <f>IF($F197&gt;0,$H197/$F197,"")</f>
        <v/>
      </c>
      <c r="J197" s="10" t="n"/>
      <c r="K197" s="45" t="n"/>
      <c r="L197" s="9">
        <f>IF($B197="","",IF(AND($G197&lt;&gt;"Vacant",$M197="",OR($K197&lt;&gt;"",$G197="Occupied")),"Yes","No"))</f>
        <v/>
      </c>
      <c r="M197" s="45" t="n"/>
      <c r="N197" s="24">
        <f>IF($B197="","",IF($G197="Vacant","Vacant",IF(L197="Yes","MTM",IF(M197="","",M197))))</f>
        <v/>
      </c>
      <c r="O197" s="9" t="n"/>
    </row>
    <row r="198">
      <c r="A198" s="1" t="n"/>
      <c r="B198" s="9" t="n"/>
      <c r="C198" s="9" t="n"/>
      <c r="D198" s="14" t="n"/>
      <c r="E198" s="56" t="n"/>
      <c r="F198" s="19" t="n"/>
      <c r="G198" s="9" t="n"/>
      <c r="H198" s="10" t="n"/>
      <c r="I198" s="80">
        <f>IF($F198&gt;0,$H198/$F198,"")</f>
        <v/>
      </c>
      <c r="J198" s="10" t="n"/>
      <c r="K198" s="45" t="n"/>
      <c r="L198" s="9">
        <f>IF($B198="","",IF(AND($G198&lt;&gt;"Vacant",$M198="",OR($K198&lt;&gt;"",$G198="Occupied")),"Yes","No"))</f>
        <v/>
      </c>
      <c r="M198" s="45" t="n"/>
      <c r="N198" s="24">
        <f>IF($B198="","",IF($G198="Vacant","Vacant",IF(L198="Yes","MTM",IF(M198="","",M198))))</f>
        <v/>
      </c>
      <c r="O198" s="9" t="n"/>
    </row>
    <row r="199">
      <c r="A199" s="1" t="n"/>
      <c r="B199" s="9" t="n"/>
      <c r="C199" s="9" t="n"/>
      <c r="D199" s="14" t="n"/>
      <c r="E199" s="56" t="n"/>
      <c r="F199" s="19" t="n"/>
      <c r="G199" s="9" t="n"/>
      <c r="H199" s="10" t="n"/>
      <c r="I199" s="80">
        <f>IF($F199&gt;0,$H199/$F199,"")</f>
        <v/>
      </c>
      <c r="J199" s="10" t="n"/>
      <c r="K199" s="45" t="n"/>
      <c r="L199" s="9">
        <f>IF($B199="","",IF(AND($G199&lt;&gt;"Vacant",$M199="",OR($K199&lt;&gt;"",$G199="Occupied")),"Yes","No"))</f>
        <v/>
      </c>
      <c r="M199" s="45" t="n"/>
      <c r="N199" s="24">
        <f>IF($B199="","",IF($G199="Vacant","Vacant",IF(L199="Yes","MTM",IF(M199="","",M199))))</f>
        <v/>
      </c>
      <c r="O199" s="9" t="n"/>
    </row>
    <row r="200">
      <c r="A200" s="1" t="n"/>
      <c r="B200" s="9" t="n"/>
      <c r="C200" s="9" t="n"/>
      <c r="D200" s="14" t="n"/>
      <c r="E200" s="56" t="n"/>
      <c r="F200" s="19" t="n"/>
      <c r="G200" s="9" t="n"/>
      <c r="H200" s="10" t="n"/>
      <c r="I200" s="80">
        <f>IF($F200&gt;0,$H200/$F200,"")</f>
        <v/>
      </c>
      <c r="J200" s="10" t="n"/>
      <c r="K200" s="45" t="n"/>
      <c r="L200" s="9">
        <f>IF($B200="","",IF(AND($G200&lt;&gt;"Vacant",$M200="",OR($K200&lt;&gt;"",$G200="Occupied")),"Yes","No"))</f>
        <v/>
      </c>
      <c r="M200" s="45" t="n"/>
      <c r="N200" s="24">
        <f>IF($B200="","",IF($G200="Vacant","Vacant",IF(L200="Yes","MTM",IF(M200="","",M200))))</f>
        <v/>
      </c>
      <c r="O200" s="9" t="n"/>
    </row>
    <row r="201">
      <c r="A201" s="1" t="n"/>
      <c r="B201" s="9" t="n"/>
      <c r="C201" s="9" t="n"/>
      <c r="D201" s="14" t="n"/>
      <c r="E201" s="56" t="n"/>
      <c r="F201" s="19" t="n"/>
      <c r="G201" s="9" t="n"/>
      <c r="H201" s="10" t="n"/>
      <c r="I201" s="80">
        <f>IF($F201&gt;0,$H201/$F201,"")</f>
        <v/>
      </c>
      <c r="J201" s="10" t="n"/>
      <c r="K201" s="45" t="n"/>
      <c r="L201" s="9">
        <f>IF($B201="","",IF(AND($G201&lt;&gt;"Vacant",$M201="",OR($K201&lt;&gt;"",$G201="Occupied")),"Yes","No"))</f>
        <v/>
      </c>
      <c r="M201" s="45" t="n"/>
      <c r="N201" s="24">
        <f>IF($B201="","",IF($G201="Vacant","Vacant",IF(L201="Yes","MTM",IF(M201="","",M201))))</f>
        <v/>
      </c>
      <c r="O201" s="9" t="n"/>
    </row>
    <row r="202">
      <c r="A202" s="1" t="n"/>
      <c r="B202" s="9" t="n"/>
      <c r="C202" s="9" t="n"/>
      <c r="D202" s="14" t="n"/>
      <c r="E202" s="56" t="n"/>
      <c r="F202" s="19" t="n"/>
      <c r="G202" s="9" t="n"/>
      <c r="H202" s="10" t="n"/>
      <c r="I202" s="80">
        <f>IF($F202&gt;0,$H202/$F202,"")</f>
        <v/>
      </c>
      <c r="J202" s="10" t="n"/>
      <c r="K202" s="45" t="n"/>
      <c r="L202" s="9">
        <f>IF($B202="","",IF(AND($G202&lt;&gt;"Vacant",$M202="",OR($K202&lt;&gt;"",$G202="Occupied")),"Yes","No"))</f>
        <v/>
      </c>
      <c r="M202" s="45" t="n"/>
      <c r="N202" s="24">
        <f>IF($B202="","",IF($G202="Vacant","Vacant",IF(L202="Yes","MTM",IF(M202="","",M202))))</f>
        <v/>
      </c>
      <c r="O202" s="9" t="n"/>
    </row>
    <row r="203">
      <c r="A203" s="1" t="n"/>
      <c r="B203" s="9" t="n"/>
      <c r="C203" s="9" t="n"/>
      <c r="D203" s="14" t="n"/>
      <c r="E203" s="56" t="n"/>
      <c r="F203" s="19" t="n"/>
      <c r="G203" s="9" t="n"/>
      <c r="H203" s="10" t="n"/>
      <c r="I203" s="80">
        <f>IF($F203&gt;0,$H203/$F203,"")</f>
        <v/>
      </c>
      <c r="J203" s="10" t="n"/>
      <c r="K203" s="45" t="n"/>
      <c r="L203" s="9">
        <f>IF($B203="","",IF(AND($G203&lt;&gt;"Vacant",$M203="",OR($K203&lt;&gt;"",$G203="Occupied")),"Yes","No"))</f>
        <v/>
      </c>
      <c r="M203" s="45" t="n"/>
      <c r="N203" s="24">
        <f>IF($B203="","",IF($G203="Vacant","Vacant",IF(L203="Yes","MTM",IF(M203="","",M203))))</f>
        <v/>
      </c>
      <c r="O203" s="9" t="n"/>
    </row>
    <row r="204">
      <c r="A204" s="1" t="n"/>
      <c r="B204" s="9" t="n"/>
      <c r="C204" s="9" t="n"/>
      <c r="D204" s="14" t="n"/>
      <c r="E204" s="56" t="n"/>
      <c r="F204" s="19" t="n"/>
      <c r="G204" s="9" t="n"/>
      <c r="H204" s="10" t="n"/>
      <c r="I204" s="80">
        <f>IF($F204&gt;0,$H204/$F204,"")</f>
        <v/>
      </c>
      <c r="J204" s="10" t="n"/>
      <c r="K204" s="45" t="n"/>
      <c r="L204" s="9">
        <f>IF($B204="","",IF(AND($G204&lt;&gt;"Vacant",$M204="",OR($K204&lt;&gt;"",$G204="Occupied")),"Yes","No"))</f>
        <v/>
      </c>
      <c r="M204" s="45" t="n"/>
      <c r="N204" s="24">
        <f>IF($B204="","",IF($G204="Vacant","Vacant",IF(L204="Yes","MTM",IF(M204="","",M204))))</f>
        <v/>
      </c>
      <c r="O204" s="9" t="n"/>
    </row>
    <row r="205">
      <c r="A205" s="1" t="n"/>
      <c r="B205" s="9" t="n"/>
      <c r="C205" s="9" t="n"/>
      <c r="D205" s="14" t="n"/>
      <c r="E205" s="56" t="n"/>
      <c r="F205" s="19" t="n"/>
      <c r="G205" s="9" t="n"/>
      <c r="H205" s="10" t="n"/>
      <c r="I205" s="80">
        <f>IF($F205&gt;0,$H205/$F205,"")</f>
        <v/>
      </c>
      <c r="J205" s="10" t="n"/>
      <c r="K205" s="45" t="n"/>
      <c r="L205" s="9">
        <f>IF($B205="","",IF(AND($G205&lt;&gt;"Vacant",$M205="",OR($K205&lt;&gt;"",$G205="Occupied")),"Yes","No"))</f>
        <v/>
      </c>
      <c r="M205" s="45" t="n"/>
      <c r="N205" s="24">
        <f>IF($B205="","",IF($G205="Vacant","Vacant",IF(L205="Yes","MTM",IF(M205="","",M205))))</f>
        <v/>
      </c>
      <c r="O205" s="9" t="n"/>
    </row>
    <row r="206">
      <c r="A206" s="1" t="n"/>
      <c r="B206" s="9" t="n"/>
      <c r="C206" s="9" t="n"/>
      <c r="D206" s="14" t="n"/>
      <c r="E206" s="56" t="n"/>
      <c r="F206" s="19" t="n"/>
      <c r="G206" s="9" t="n"/>
      <c r="H206" s="10" t="n"/>
      <c r="I206" s="80">
        <f>IF($F206&gt;0,$H206/$F206,"")</f>
        <v/>
      </c>
      <c r="J206" s="10" t="n"/>
      <c r="K206" s="45" t="n"/>
      <c r="L206" s="9">
        <f>IF($B206="","",IF(AND($G206&lt;&gt;"Vacant",$M206="",OR($K206&lt;&gt;"",$G206="Occupied")),"Yes","No"))</f>
        <v/>
      </c>
      <c r="M206" s="45" t="n"/>
      <c r="N206" s="24">
        <f>IF($B206="","",IF($G206="Vacant","Vacant",IF(L206="Yes","MTM",IF(M206="","",M206))))</f>
        <v/>
      </c>
      <c r="O206" s="9" t="n"/>
    </row>
    <row r="207">
      <c r="A207" s="1" t="n"/>
      <c r="B207" s="9" t="n"/>
      <c r="C207" s="9" t="n"/>
      <c r="D207" s="14" t="n"/>
      <c r="E207" s="56" t="n"/>
      <c r="F207" s="19" t="n"/>
      <c r="G207" s="9" t="n"/>
      <c r="H207" s="10" t="n"/>
      <c r="I207" s="80">
        <f>IF($F207&gt;0,$H207/$F207,"")</f>
        <v/>
      </c>
      <c r="J207" s="10" t="n"/>
      <c r="K207" s="45" t="n"/>
      <c r="L207" s="9">
        <f>IF($B207="","",IF(AND($G207&lt;&gt;"Vacant",$M207="",OR($K207&lt;&gt;"",$G207="Occupied")),"Yes","No"))</f>
        <v/>
      </c>
      <c r="M207" s="45" t="n"/>
      <c r="N207" s="24">
        <f>IF($B207="","",IF($G207="Vacant","Vacant",IF(L207="Yes","MTM",IF(M207="","",M207))))</f>
        <v/>
      </c>
      <c r="O207" s="9" t="n"/>
    </row>
    <row r="208">
      <c r="A208" s="1" t="n"/>
      <c r="B208" s="9" t="n"/>
      <c r="C208" s="9" t="n"/>
      <c r="D208" s="14" t="n"/>
      <c r="E208" s="56" t="n"/>
      <c r="F208" s="19" t="n"/>
      <c r="G208" s="9" t="n"/>
      <c r="H208" s="10" t="n"/>
      <c r="I208" s="80">
        <f>IF($F208&gt;0,$H208/$F208,"")</f>
        <v/>
      </c>
      <c r="J208" s="10" t="n"/>
      <c r="K208" s="45" t="n"/>
      <c r="L208" s="9">
        <f>IF($B208="","",IF(AND($G208&lt;&gt;"Vacant",$M208="",OR($K208&lt;&gt;"",$G208="Occupied")),"Yes","No"))</f>
        <v/>
      </c>
      <c r="M208" s="45" t="n"/>
      <c r="N208" s="24">
        <f>IF($B208="","",IF($G208="Vacant","Vacant",IF(L208="Yes","MTM",IF(M208="","",M208))))</f>
        <v/>
      </c>
      <c r="O208" s="9" t="n"/>
    </row>
    <row r="209">
      <c r="A209" s="1" t="n"/>
      <c r="B209" s="9" t="n"/>
      <c r="C209" s="9" t="n"/>
      <c r="D209" s="14" t="n"/>
      <c r="E209" s="56" t="n"/>
      <c r="F209" s="19" t="n"/>
      <c r="G209" s="9" t="n"/>
      <c r="H209" s="10" t="n"/>
      <c r="I209" s="80">
        <f>IF($F209&gt;0,$H209/$F209,"")</f>
        <v/>
      </c>
      <c r="J209" s="10" t="n"/>
      <c r="K209" s="45" t="n"/>
      <c r="L209" s="9">
        <f>IF($B209="","",IF(AND($G209&lt;&gt;"Vacant",$M209="",OR($K209&lt;&gt;"",$G209="Occupied")),"Yes","No"))</f>
        <v/>
      </c>
      <c r="M209" s="45" t="n"/>
      <c r="N209" s="24">
        <f>IF($B209="","",IF($G209="Vacant","Vacant",IF(L209="Yes","MTM",IF(M209="","",M209))))</f>
        <v/>
      </c>
      <c r="O209" s="9" t="n"/>
    </row>
    <row r="210">
      <c r="A210" s="1" t="n"/>
      <c r="B210" s="9" t="n"/>
      <c r="C210" s="9" t="n"/>
      <c r="D210" s="14" t="n"/>
      <c r="E210" s="56" t="n"/>
      <c r="F210" s="19" t="n"/>
      <c r="G210" s="9" t="n"/>
      <c r="H210" s="10" t="n"/>
      <c r="I210" s="80">
        <f>IF($F210&gt;0,$H210/$F210,"")</f>
        <v/>
      </c>
      <c r="J210" s="10" t="n"/>
      <c r="K210" s="45" t="n"/>
      <c r="L210" s="9">
        <f>IF($B210="","",IF(AND($G210&lt;&gt;"Vacant",$M210="",OR($K210&lt;&gt;"",$G210="Occupied")),"Yes","No"))</f>
        <v/>
      </c>
      <c r="M210" s="45" t="n"/>
      <c r="N210" s="24">
        <f>IF($B210="","",IF($G210="Vacant","Vacant",IF(L210="Yes","MTM",IF(M210="","",M210))))</f>
        <v/>
      </c>
      <c r="O210" s="9" t="n"/>
    </row>
    <row r="211">
      <c r="A211" s="1" t="n"/>
      <c r="B211" s="9" t="n"/>
      <c r="C211" s="9" t="n"/>
      <c r="D211" s="14" t="n"/>
      <c r="E211" s="56" t="n"/>
      <c r="F211" s="19" t="n"/>
      <c r="G211" s="9" t="n"/>
      <c r="H211" s="10" t="n"/>
      <c r="I211" s="80">
        <f>IF($F211&gt;0,$H211/$F211,"")</f>
        <v/>
      </c>
      <c r="J211" s="10" t="n"/>
      <c r="K211" s="45" t="n"/>
      <c r="L211" s="9">
        <f>IF($B211="","",IF(AND($G211&lt;&gt;"Vacant",$M211="",OR($K211&lt;&gt;"",$G211="Occupied")),"Yes","No"))</f>
        <v/>
      </c>
      <c r="M211" s="45" t="n"/>
      <c r="N211" s="24">
        <f>IF($B211="","",IF($G211="Vacant","Vacant",IF(L211="Yes","MTM",IF(M211="","",M211))))</f>
        <v/>
      </c>
      <c r="O211" s="9" t="n"/>
    </row>
    <row r="212">
      <c r="A212" s="1" t="n"/>
      <c r="B212" s="9" t="n"/>
      <c r="C212" s="9" t="n"/>
      <c r="D212" s="14" t="n"/>
      <c r="E212" s="56" t="n"/>
      <c r="F212" s="19" t="n"/>
      <c r="G212" s="9" t="n"/>
      <c r="H212" s="10" t="n"/>
      <c r="I212" s="80">
        <f>IF($F212&gt;0,$H212/$F212,"")</f>
        <v/>
      </c>
      <c r="J212" s="10" t="n"/>
      <c r="K212" s="45" t="n"/>
      <c r="L212" s="9">
        <f>IF($B212="","",IF(AND($G212&lt;&gt;"Vacant",$M212="",OR($K212&lt;&gt;"",$G212="Occupied")),"Yes","No"))</f>
        <v/>
      </c>
      <c r="M212" s="45" t="n"/>
      <c r="N212" s="24">
        <f>IF($B212="","",IF($G212="Vacant","Vacant",IF(L212="Yes","MTM",IF(M212="","",M212))))</f>
        <v/>
      </c>
      <c r="O212" s="9" t="n"/>
    </row>
    <row r="213">
      <c r="A213" s="1" t="n"/>
      <c r="B213" s="9" t="n"/>
      <c r="C213" s="9" t="n"/>
      <c r="D213" s="14" t="n"/>
      <c r="E213" s="56" t="n"/>
      <c r="F213" s="19" t="n"/>
      <c r="G213" s="9" t="n"/>
      <c r="H213" s="10" t="n"/>
      <c r="I213" s="80">
        <f>IF($F213&gt;0,$H213/$F213,"")</f>
        <v/>
      </c>
      <c r="J213" s="10" t="n"/>
      <c r="K213" s="45" t="n"/>
      <c r="L213" s="9">
        <f>IF($B213="","",IF(AND($G213&lt;&gt;"Vacant",$M213="",OR($K213&lt;&gt;"",$G213="Occupied")),"Yes","No"))</f>
        <v/>
      </c>
      <c r="M213" s="45" t="n"/>
      <c r="N213" s="24">
        <f>IF($B213="","",IF($G213="Vacant","Vacant",IF(L213="Yes","MTM",IF(M213="","",M213))))</f>
        <v/>
      </c>
      <c r="O213" s="9" t="n"/>
    </row>
    <row r="214">
      <c r="A214" s="1" t="n"/>
      <c r="B214" s="9" t="n"/>
      <c r="C214" s="9" t="n"/>
      <c r="D214" s="14" t="n"/>
      <c r="E214" s="56" t="n"/>
      <c r="F214" s="19" t="n"/>
      <c r="G214" s="9" t="n"/>
      <c r="H214" s="10" t="n"/>
      <c r="I214" s="80">
        <f>IF($F214&gt;0,$H214/$F214,"")</f>
        <v/>
      </c>
      <c r="J214" s="10" t="n"/>
      <c r="K214" s="45" t="n"/>
      <c r="L214" s="9">
        <f>IF($B214="","",IF(AND($G214&lt;&gt;"Vacant",$M214="",OR($K214&lt;&gt;"",$G214="Occupied")),"Yes","No"))</f>
        <v/>
      </c>
      <c r="M214" s="45" t="n"/>
      <c r="N214" s="24">
        <f>IF($B214="","",IF($G214="Vacant","Vacant",IF(L214="Yes","MTM",IF(M214="","",M214))))</f>
        <v/>
      </c>
      <c r="O214" s="9" t="n"/>
    </row>
    <row r="215">
      <c r="A215" s="1" t="n"/>
      <c r="B215" s="9" t="n"/>
      <c r="C215" s="9" t="n"/>
      <c r="D215" s="14" t="n"/>
      <c r="E215" s="56" t="n"/>
      <c r="F215" s="19" t="n"/>
      <c r="G215" s="9" t="n"/>
      <c r="H215" s="10" t="n"/>
      <c r="I215" s="80">
        <f>IF($F215&gt;0,$H215/$F215,"")</f>
        <v/>
      </c>
      <c r="J215" s="10" t="n"/>
      <c r="K215" s="45" t="n"/>
      <c r="L215" s="9">
        <f>IF($B215="","",IF(AND($G215&lt;&gt;"Vacant",$M215="",OR($K215&lt;&gt;"",$G215="Occupied")),"Yes","No"))</f>
        <v/>
      </c>
      <c r="M215" s="45" t="n"/>
      <c r="N215" s="24">
        <f>IF($B215="","",IF($G215="Vacant","Vacant",IF(L215="Yes","MTM",IF(M215="","",M215))))</f>
        <v/>
      </c>
      <c r="O215" s="9" t="n"/>
    </row>
    <row r="216">
      <c r="A216" s="1" t="n"/>
      <c r="B216" s="9" t="n"/>
      <c r="C216" s="9" t="n"/>
      <c r="D216" s="14" t="n"/>
      <c r="E216" s="56" t="n"/>
      <c r="F216" s="19" t="n"/>
      <c r="G216" s="9" t="n"/>
      <c r="H216" s="10" t="n"/>
      <c r="I216" s="80">
        <f>IF($F216&gt;0,$H216/$F216,"")</f>
        <v/>
      </c>
      <c r="J216" s="10" t="n"/>
      <c r="K216" s="45" t="n"/>
      <c r="L216" s="9">
        <f>IF($B216="","",IF(AND($G216&lt;&gt;"Vacant",$M216="",OR($K216&lt;&gt;"",$G216="Occupied")),"Yes","No"))</f>
        <v/>
      </c>
      <c r="M216" s="45" t="n"/>
      <c r="N216" s="24">
        <f>IF($B216="","",IF($G216="Vacant","Vacant",IF(L216="Yes","MTM",IF(M216="","",M216))))</f>
        <v/>
      </c>
      <c r="O216" s="9" t="n"/>
    </row>
    <row r="217">
      <c r="A217" s="1" t="n"/>
      <c r="B217" s="9" t="n"/>
      <c r="C217" s="9" t="n"/>
      <c r="D217" s="14" t="n"/>
      <c r="E217" s="56" t="n"/>
      <c r="F217" s="19" t="n"/>
      <c r="G217" s="9" t="n"/>
      <c r="H217" s="10" t="n"/>
      <c r="I217" s="80">
        <f>IF($F217&gt;0,$H217/$F217,"")</f>
        <v/>
      </c>
      <c r="J217" s="10" t="n"/>
      <c r="K217" s="45" t="n"/>
      <c r="L217" s="9">
        <f>IF($B217="","",IF(AND($G217&lt;&gt;"Vacant",$M217="",OR($K217&lt;&gt;"",$G217="Occupied")),"Yes","No"))</f>
        <v/>
      </c>
      <c r="M217" s="45" t="n"/>
      <c r="N217" s="24">
        <f>IF($B217="","",IF($G217="Vacant","Vacant",IF(L217="Yes","MTM",IF(M217="","",M217))))</f>
        <v/>
      </c>
      <c r="O217" s="9" t="n"/>
    </row>
    <row r="218">
      <c r="A218" s="1" t="n"/>
      <c r="B218" s="9" t="n"/>
      <c r="C218" s="9" t="n"/>
      <c r="D218" s="14" t="n"/>
      <c r="E218" s="56" t="n"/>
      <c r="F218" s="19" t="n"/>
      <c r="G218" s="9" t="n"/>
      <c r="H218" s="10" t="n"/>
      <c r="I218" s="80">
        <f>IF($F218&gt;0,$H218/$F218,"")</f>
        <v/>
      </c>
      <c r="J218" s="10" t="n"/>
      <c r="K218" s="45" t="n"/>
      <c r="L218" s="9">
        <f>IF($B218="","",IF(AND($G218&lt;&gt;"Vacant",$M218="",OR($K218&lt;&gt;"",$G218="Occupied")),"Yes","No"))</f>
        <v/>
      </c>
      <c r="M218" s="45" t="n"/>
      <c r="N218" s="24">
        <f>IF($B218="","",IF($G218="Vacant","Vacant",IF(L218="Yes","MTM",IF(M218="","",M218))))</f>
        <v/>
      </c>
      <c r="O218" s="9" t="n"/>
    </row>
    <row r="219">
      <c r="A219" s="1" t="n"/>
      <c r="B219" s="9" t="n"/>
      <c r="C219" s="9" t="n"/>
      <c r="D219" s="14" t="n"/>
      <c r="E219" s="56" t="n"/>
      <c r="F219" s="19" t="n"/>
      <c r="G219" s="9" t="n"/>
      <c r="H219" s="10" t="n"/>
      <c r="I219" s="80">
        <f>IF($F219&gt;0,$H219/$F219,"")</f>
        <v/>
      </c>
      <c r="J219" s="10" t="n"/>
      <c r="K219" s="45" t="n"/>
      <c r="L219" s="9">
        <f>IF($B219="","",IF(AND($G219&lt;&gt;"Vacant",$M219="",OR($K219&lt;&gt;"",$G219="Occupied")),"Yes","No"))</f>
        <v/>
      </c>
      <c r="M219" s="45" t="n"/>
      <c r="N219" s="24">
        <f>IF($B219="","",IF($G219="Vacant","Vacant",IF(L219="Yes","MTM",IF(M219="","",M219))))</f>
        <v/>
      </c>
      <c r="O219" s="9" t="n"/>
    </row>
    <row r="220">
      <c r="A220" s="1" t="n"/>
      <c r="B220" s="9" t="n"/>
      <c r="C220" s="9" t="n"/>
      <c r="D220" s="14" t="n"/>
      <c r="E220" s="56" t="n"/>
      <c r="F220" s="19" t="n"/>
      <c r="G220" s="9" t="n"/>
      <c r="H220" s="10" t="n"/>
      <c r="I220" s="80">
        <f>IF($F220&gt;0,$H220/$F220,"")</f>
        <v/>
      </c>
      <c r="J220" s="10" t="n"/>
      <c r="K220" s="45" t="n"/>
      <c r="L220" s="9">
        <f>IF($B220="","",IF(AND($G220&lt;&gt;"Vacant",$M220="",OR($K220&lt;&gt;"",$G220="Occupied")),"Yes","No"))</f>
        <v/>
      </c>
      <c r="M220" s="45" t="n"/>
      <c r="N220" s="24">
        <f>IF($B220="","",IF($G220="Vacant","Vacant",IF(L220="Yes","MTM",IF(M220="","",M220))))</f>
        <v/>
      </c>
      <c r="O220" s="9" t="n"/>
    </row>
    <row r="221">
      <c r="A221" s="1" t="n"/>
      <c r="B221" s="9" t="n"/>
      <c r="C221" s="9" t="n"/>
      <c r="D221" s="14" t="n"/>
      <c r="E221" s="56" t="n"/>
      <c r="F221" s="19" t="n"/>
      <c r="G221" s="9" t="n"/>
      <c r="H221" s="10" t="n"/>
      <c r="I221" s="80">
        <f>IF($F221&gt;0,$H221/$F221,"")</f>
        <v/>
      </c>
      <c r="J221" s="10" t="n"/>
      <c r="K221" s="45" t="n"/>
      <c r="L221" s="9">
        <f>IF($B221="","",IF(AND($G221&lt;&gt;"Vacant",$M221="",OR($K221&lt;&gt;"",$G221="Occupied")),"Yes","No"))</f>
        <v/>
      </c>
      <c r="M221" s="45" t="n"/>
      <c r="N221" s="24">
        <f>IF($B221="","",IF($G221="Vacant","Vacant",IF(L221="Yes","MTM",IF(M221="","",M221))))</f>
        <v/>
      </c>
      <c r="O221" s="9" t="n"/>
    </row>
    <row r="222">
      <c r="A222" s="1" t="n"/>
      <c r="B222" s="9" t="n"/>
      <c r="C222" s="9" t="n"/>
      <c r="D222" s="14" t="n"/>
      <c r="E222" s="56" t="n"/>
      <c r="F222" s="19" t="n"/>
      <c r="G222" s="9" t="n"/>
      <c r="H222" s="10" t="n"/>
      <c r="I222" s="80">
        <f>IF($F222&gt;0,$H222/$F222,"")</f>
        <v/>
      </c>
      <c r="J222" s="10" t="n"/>
      <c r="K222" s="45" t="n"/>
      <c r="L222" s="9">
        <f>IF($B222="","",IF(AND($G222&lt;&gt;"Vacant",$M222="",OR($K222&lt;&gt;"",$G222="Occupied")),"Yes","No"))</f>
        <v/>
      </c>
      <c r="M222" s="45" t="n"/>
      <c r="N222" s="24">
        <f>IF($B222="","",IF($G222="Vacant","Vacant",IF(L222="Yes","MTM",IF(M222="","",M222))))</f>
        <v/>
      </c>
      <c r="O222" s="9" t="n"/>
    </row>
    <row r="223">
      <c r="A223" s="1" t="n"/>
      <c r="B223" s="9" t="n"/>
      <c r="C223" s="9" t="n"/>
      <c r="D223" s="14" t="n"/>
      <c r="E223" s="56" t="n"/>
      <c r="F223" s="19" t="n"/>
      <c r="G223" s="9" t="n"/>
      <c r="H223" s="10" t="n"/>
      <c r="I223" s="80">
        <f>IF($F223&gt;0,$H223/$F223,"")</f>
        <v/>
      </c>
      <c r="J223" s="10" t="n"/>
      <c r="K223" s="45" t="n"/>
      <c r="L223" s="9">
        <f>IF($B223="","",IF(AND($G223&lt;&gt;"Vacant",$M223="",OR($K223&lt;&gt;"",$G223="Occupied")),"Yes","No"))</f>
        <v/>
      </c>
      <c r="M223" s="45" t="n"/>
      <c r="N223" s="24">
        <f>IF($B223="","",IF($G223="Vacant","Vacant",IF(L223="Yes","MTM",IF(M223="","",M223))))</f>
        <v/>
      </c>
      <c r="O223" s="9" t="n"/>
    </row>
    <row r="224">
      <c r="A224" s="1" t="n"/>
      <c r="B224" s="9" t="n"/>
      <c r="C224" s="9" t="n"/>
      <c r="D224" s="14" t="n"/>
      <c r="E224" s="56" t="n"/>
      <c r="F224" s="19" t="n"/>
      <c r="G224" s="9" t="n"/>
      <c r="H224" s="10" t="n"/>
      <c r="I224" s="80">
        <f>IF($F224&gt;0,$H224/$F224,"")</f>
        <v/>
      </c>
      <c r="J224" s="10" t="n"/>
      <c r="K224" s="45" t="n"/>
      <c r="L224" s="9">
        <f>IF($B224="","",IF(AND($G224&lt;&gt;"Vacant",$M224="",OR($K224&lt;&gt;"",$G224="Occupied")),"Yes","No"))</f>
        <v/>
      </c>
      <c r="M224" s="45" t="n"/>
      <c r="N224" s="24">
        <f>IF($B224="","",IF($G224="Vacant","Vacant",IF(L224="Yes","MTM",IF(M224="","",M224))))</f>
        <v/>
      </c>
      <c r="O224" s="9" t="n"/>
    </row>
    <row r="225">
      <c r="A225" s="1" t="n"/>
      <c r="B225" s="9" t="n"/>
      <c r="C225" s="9" t="n"/>
      <c r="D225" s="14" t="n"/>
      <c r="E225" s="56" t="n"/>
      <c r="F225" s="19" t="n"/>
      <c r="G225" s="9" t="n"/>
      <c r="H225" s="10" t="n"/>
      <c r="I225" s="80">
        <f>IF($F225&gt;0,$H225/$F225,"")</f>
        <v/>
      </c>
      <c r="J225" s="10" t="n"/>
      <c r="K225" s="45" t="n"/>
      <c r="L225" s="9">
        <f>IF($B225="","",IF(AND($G225&lt;&gt;"Vacant",$M225="",OR($K225&lt;&gt;"",$G225="Occupied")),"Yes","No"))</f>
        <v/>
      </c>
      <c r="M225" s="45" t="n"/>
      <c r="N225" s="24">
        <f>IF($B225="","",IF($G225="Vacant","Vacant",IF(L225="Yes","MTM",IF(M225="","",M225))))</f>
        <v/>
      </c>
      <c r="O225" s="9" t="n"/>
    </row>
    <row r="226">
      <c r="A226" s="1" t="n"/>
      <c r="B226" s="9" t="n"/>
      <c r="C226" s="9" t="n"/>
      <c r="D226" s="14" t="n"/>
      <c r="E226" s="56" t="n"/>
      <c r="F226" s="19" t="n"/>
      <c r="G226" s="9" t="n"/>
      <c r="H226" s="10" t="n"/>
      <c r="I226" s="80">
        <f>IF($F226&gt;0,$H226/$F226,"")</f>
        <v/>
      </c>
      <c r="J226" s="10" t="n"/>
      <c r="K226" s="45" t="n"/>
      <c r="L226" s="9">
        <f>IF($B226="","",IF(AND($G226&lt;&gt;"Vacant",$M226="",OR($K226&lt;&gt;"",$G226="Occupied")),"Yes","No"))</f>
        <v/>
      </c>
      <c r="M226" s="45" t="n"/>
      <c r="N226" s="24">
        <f>IF($B226="","",IF($G226="Vacant","Vacant",IF(L226="Yes","MTM",IF(M226="","",M226))))</f>
        <v/>
      </c>
      <c r="O226" s="9" t="n"/>
    </row>
    <row r="227">
      <c r="A227" s="1" t="n"/>
      <c r="B227" s="9" t="n"/>
      <c r="C227" s="9" t="n"/>
      <c r="D227" s="14" t="n"/>
      <c r="E227" s="56" t="n"/>
      <c r="F227" s="19" t="n"/>
      <c r="G227" s="9" t="n"/>
      <c r="H227" s="10" t="n"/>
      <c r="I227" s="80">
        <f>IF($F227&gt;0,$H227/$F227,"")</f>
        <v/>
      </c>
      <c r="J227" s="10" t="n"/>
      <c r="K227" s="45" t="n"/>
      <c r="L227" s="9">
        <f>IF($B227="","",IF(AND($G227&lt;&gt;"Vacant",$M227="",OR($K227&lt;&gt;"",$G227="Occupied")),"Yes","No"))</f>
        <v/>
      </c>
      <c r="M227" s="45" t="n"/>
      <c r="N227" s="24">
        <f>IF($B227="","",IF($G227="Vacant","Vacant",IF(L227="Yes","MTM",IF(M227="","",M227))))</f>
        <v/>
      </c>
      <c r="O227" s="9" t="n"/>
    </row>
    <row r="228">
      <c r="A228" s="1" t="n"/>
      <c r="B228" s="9" t="n"/>
      <c r="C228" s="9" t="n"/>
      <c r="D228" s="14" t="n"/>
      <c r="E228" s="56" t="n"/>
      <c r="F228" s="19" t="n"/>
      <c r="G228" s="9" t="n"/>
      <c r="H228" s="10" t="n"/>
      <c r="I228" s="80">
        <f>IF($F228&gt;0,$H228/$F228,"")</f>
        <v/>
      </c>
      <c r="J228" s="10" t="n"/>
      <c r="K228" s="45" t="n"/>
      <c r="L228" s="9">
        <f>IF($B228="","",IF(AND($G228&lt;&gt;"Vacant",$M228="",OR($K228&lt;&gt;"",$G228="Occupied")),"Yes","No"))</f>
        <v/>
      </c>
      <c r="M228" s="45" t="n"/>
      <c r="N228" s="24">
        <f>IF($B228="","",IF($G228="Vacant","Vacant",IF(L228="Yes","MTM",IF(M228="","",M228))))</f>
        <v/>
      </c>
      <c r="O228" s="9" t="n"/>
    </row>
    <row r="229">
      <c r="A229" s="1" t="n"/>
      <c r="B229" s="9" t="n"/>
      <c r="C229" s="9" t="n"/>
      <c r="D229" s="14" t="n"/>
      <c r="E229" s="56" t="n"/>
      <c r="F229" s="19" t="n"/>
      <c r="G229" s="9" t="n"/>
      <c r="H229" s="10" t="n"/>
      <c r="I229" s="80">
        <f>IF($F229&gt;0,$H229/$F229,"")</f>
        <v/>
      </c>
      <c r="J229" s="10" t="n"/>
      <c r="K229" s="45" t="n"/>
      <c r="L229" s="9">
        <f>IF($B229="","",IF(AND($G229&lt;&gt;"Vacant",$M229="",OR($K229&lt;&gt;"",$G229="Occupied")),"Yes","No"))</f>
        <v/>
      </c>
      <c r="M229" s="45" t="n"/>
      <c r="N229" s="24">
        <f>IF($B229="","",IF($G229="Vacant","Vacant",IF(L229="Yes","MTM",IF(M229="","",M229))))</f>
        <v/>
      </c>
      <c r="O229" s="9" t="n"/>
    </row>
    <row r="230">
      <c r="A230" s="1" t="n"/>
      <c r="B230" s="9" t="n"/>
      <c r="C230" s="9" t="n"/>
      <c r="D230" s="14" t="n"/>
      <c r="E230" s="56" t="n"/>
      <c r="F230" s="19" t="n"/>
      <c r="G230" s="9" t="n"/>
      <c r="H230" s="10" t="n"/>
      <c r="I230" s="80">
        <f>IF($F230&gt;0,$H230/$F230,"")</f>
        <v/>
      </c>
      <c r="J230" s="10" t="n"/>
      <c r="K230" s="45" t="n"/>
      <c r="L230" s="9">
        <f>IF($B230="","",IF(AND($G230&lt;&gt;"Vacant",$M230="",OR($K230&lt;&gt;"",$G230="Occupied")),"Yes","No"))</f>
        <v/>
      </c>
      <c r="M230" s="45" t="n"/>
      <c r="N230" s="24">
        <f>IF($B230="","",IF($G230="Vacant","Vacant",IF(L230="Yes","MTM",IF(M230="","",M230))))</f>
        <v/>
      </c>
      <c r="O230" s="9" t="n"/>
    </row>
    <row r="231">
      <c r="A231" s="1" t="n"/>
      <c r="B231" s="9" t="n"/>
      <c r="C231" s="9" t="n"/>
      <c r="D231" s="14" t="n"/>
      <c r="E231" s="56" t="n"/>
      <c r="F231" s="19" t="n"/>
      <c r="G231" s="9" t="n"/>
      <c r="H231" s="10" t="n"/>
      <c r="I231" s="80">
        <f>IF($F231&gt;0,$H231/$F231,"")</f>
        <v/>
      </c>
      <c r="J231" s="10" t="n"/>
      <c r="K231" s="45" t="n"/>
      <c r="L231" s="9">
        <f>IF($B231="","",IF(AND($G231&lt;&gt;"Vacant",$M231="",OR($K231&lt;&gt;"",$G231="Occupied")),"Yes","No"))</f>
        <v/>
      </c>
      <c r="M231" s="45" t="n"/>
      <c r="N231" s="24">
        <f>IF($B231="","",IF($G231="Vacant","Vacant",IF(L231="Yes","MTM",IF(M231="","",M231))))</f>
        <v/>
      </c>
      <c r="O231" s="9" t="n"/>
    </row>
    <row r="232">
      <c r="A232" s="1" t="n"/>
      <c r="B232" s="9" t="n"/>
      <c r="C232" s="9" t="n"/>
      <c r="D232" s="14" t="n"/>
      <c r="E232" s="56" t="n"/>
      <c r="F232" s="19" t="n"/>
      <c r="G232" s="9" t="n"/>
      <c r="H232" s="10" t="n"/>
      <c r="I232" s="80">
        <f>IF($F232&gt;0,$H232/$F232,"")</f>
        <v/>
      </c>
      <c r="J232" s="10" t="n"/>
      <c r="K232" s="45" t="n"/>
      <c r="L232" s="9">
        <f>IF($B232="","",IF(AND($G232&lt;&gt;"Vacant",$M232="",OR($K232&lt;&gt;"",$G232="Occupied")),"Yes","No"))</f>
        <v/>
      </c>
      <c r="M232" s="45" t="n"/>
      <c r="N232" s="24">
        <f>IF($B232="","",IF($G232="Vacant","Vacant",IF(L232="Yes","MTM",IF(M232="","",M232))))</f>
        <v/>
      </c>
      <c r="O232" s="9" t="n"/>
    </row>
    <row r="233">
      <c r="A233" s="1" t="n"/>
      <c r="B233" s="9" t="n"/>
      <c r="C233" s="9" t="n"/>
      <c r="D233" s="14" t="n"/>
      <c r="E233" s="56" t="n"/>
      <c r="F233" s="19" t="n"/>
      <c r="G233" s="9" t="n"/>
      <c r="H233" s="10" t="n"/>
      <c r="I233" s="80">
        <f>IF($F233&gt;0,$H233/$F233,"")</f>
        <v/>
      </c>
      <c r="J233" s="10" t="n"/>
      <c r="K233" s="45" t="n"/>
      <c r="L233" s="9">
        <f>IF($B233="","",IF(AND($G233&lt;&gt;"Vacant",$M233="",OR($K233&lt;&gt;"",$G233="Occupied")),"Yes","No"))</f>
        <v/>
      </c>
      <c r="M233" s="45" t="n"/>
      <c r="N233" s="24">
        <f>IF($B233="","",IF($G233="Vacant","Vacant",IF(L233="Yes","MTM",IF(M233="","",M233))))</f>
        <v/>
      </c>
      <c r="O233" s="9" t="n"/>
    </row>
    <row r="234">
      <c r="A234" s="1" t="n"/>
      <c r="B234" s="9" t="n"/>
      <c r="C234" s="9" t="n"/>
      <c r="D234" s="14" t="n"/>
      <c r="E234" s="56" t="n"/>
      <c r="F234" s="19" t="n"/>
      <c r="G234" s="9" t="n"/>
      <c r="H234" s="10" t="n"/>
      <c r="I234" s="80">
        <f>IF($F234&gt;0,$H234/$F234,"")</f>
        <v/>
      </c>
      <c r="J234" s="10" t="n"/>
      <c r="K234" s="45" t="n"/>
      <c r="L234" s="9">
        <f>IF($B234="","",IF(AND($G234&lt;&gt;"Vacant",$M234="",OR($K234&lt;&gt;"",$G234="Occupied")),"Yes","No"))</f>
        <v/>
      </c>
      <c r="M234" s="45" t="n"/>
      <c r="N234" s="24">
        <f>IF($B234="","",IF($G234="Vacant","Vacant",IF(L234="Yes","MTM",IF(M234="","",M234))))</f>
        <v/>
      </c>
      <c r="O234" s="9" t="n"/>
    </row>
    <row r="235">
      <c r="A235" s="1" t="n"/>
      <c r="B235" s="9" t="n"/>
      <c r="C235" s="9" t="n"/>
      <c r="D235" s="14" t="n"/>
      <c r="E235" s="56" t="n"/>
      <c r="F235" s="19" t="n"/>
      <c r="G235" s="9" t="n"/>
      <c r="H235" s="10" t="n"/>
      <c r="I235" s="80">
        <f>IF($F235&gt;0,$H235/$F235,"")</f>
        <v/>
      </c>
      <c r="J235" s="10" t="n"/>
      <c r="K235" s="45" t="n"/>
      <c r="L235" s="9">
        <f>IF($B235="","",IF(AND($G235&lt;&gt;"Vacant",$M235="",OR($K235&lt;&gt;"",$G235="Occupied")),"Yes","No"))</f>
        <v/>
      </c>
      <c r="M235" s="45" t="n"/>
      <c r="N235" s="24">
        <f>IF($B235="","",IF($G235="Vacant","Vacant",IF(L235="Yes","MTM",IF(M235="","",M235))))</f>
        <v/>
      </c>
      <c r="O235" s="9" t="n"/>
    </row>
    <row r="236">
      <c r="A236" s="1" t="n"/>
      <c r="B236" s="9" t="n"/>
      <c r="C236" s="9" t="n"/>
      <c r="D236" s="14" t="n"/>
      <c r="E236" s="56" t="n"/>
      <c r="F236" s="19" t="n"/>
      <c r="G236" s="9" t="n"/>
      <c r="H236" s="10" t="n"/>
      <c r="I236" s="80">
        <f>IF($F236&gt;0,$H236/$F236,"")</f>
        <v/>
      </c>
      <c r="J236" s="10" t="n"/>
      <c r="K236" s="45" t="n"/>
      <c r="L236" s="9">
        <f>IF($B236="","",IF(AND($G236&lt;&gt;"Vacant",$M236="",OR($K236&lt;&gt;"",$G236="Occupied")),"Yes","No"))</f>
        <v/>
      </c>
      <c r="M236" s="45" t="n"/>
      <c r="N236" s="24">
        <f>IF($B236="","",IF($G236="Vacant","Vacant",IF(L236="Yes","MTM",IF(M236="","",M236))))</f>
        <v/>
      </c>
      <c r="O236" s="9" t="n"/>
    </row>
    <row r="237">
      <c r="A237" s="1" t="n"/>
      <c r="B237" s="9" t="n"/>
      <c r="C237" s="9" t="n"/>
      <c r="D237" s="14" t="n"/>
      <c r="E237" s="56" t="n"/>
      <c r="F237" s="19" t="n"/>
      <c r="G237" s="9" t="n"/>
      <c r="H237" s="10" t="n"/>
      <c r="I237" s="80">
        <f>IF($F237&gt;0,$H237/$F237,"")</f>
        <v/>
      </c>
      <c r="J237" s="10" t="n"/>
      <c r="K237" s="45" t="n"/>
      <c r="L237" s="9">
        <f>IF($B237="","",IF(AND($G237&lt;&gt;"Vacant",$M237="",OR($K237&lt;&gt;"",$G237="Occupied")),"Yes","No"))</f>
        <v/>
      </c>
      <c r="M237" s="45" t="n"/>
      <c r="N237" s="24">
        <f>IF($B237="","",IF($G237="Vacant","Vacant",IF(L237="Yes","MTM",IF(M237="","",M237))))</f>
        <v/>
      </c>
      <c r="O237" s="9" t="n"/>
    </row>
    <row r="238">
      <c r="A238" s="1" t="n"/>
      <c r="B238" s="9" t="n"/>
      <c r="C238" s="9" t="n"/>
      <c r="D238" s="14" t="n"/>
      <c r="E238" s="56" t="n"/>
      <c r="F238" s="19" t="n"/>
      <c r="G238" s="9" t="n"/>
      <c r="H238" s="10" t="n"/>
      <c r="I238" s="80">
        <f>IF($F238&gt;0,$H238/$F238,"")</f>
        <v/>
      </c>
      <c r="J238" s="10" t="n"/>
      <c r="K238" s="45" t="n"/>
      <c r="L238" s="9">
        <f>IF($B238="","",IF(AND($G238&lt;&gt;"Vacant",$M238="",OR($K238&lt;&gt;"",$G238="Occupied")),"Yes","No"))</f>
        <v/>
      </c>
      <c r="M238" s="45" t="n"/>
      <c r="N238" s="24">
        <f>IF($B238="","",IF($G238="Vacant","Vacant",IF(L238="Yes","MTM",IF(M238="","",M238))))</f>
        <v/>
      </c>
      <c r="O238" s="9" t="n"/>
    </row>
    <row r="239">
      <c r="A239" s="1" t="n"/>
      <c r="B239" s="9" t="n"/>
      <c r="C239" s="9" t="n"/>
      <c r="D239" s="14" t="n"/>
      <c r="E239" s="56" t="n"/>
      <c r="F239" s="19" t="n"/>
      <c r="G239" s="9" t="n"/>
      <c r="H239" s="10" t="n"/>
      <c r="I239" s="80">
        <f>IF($F239&gt;0,$H239/$F239,"")</f>
        <v/>
      </c>
      <c r="J239" s="10" t="n"/>
      <c r="K239" s="45" t="n"/>
      <c r="L239" s="9">
        <f>IF($B239="","",IF(AND($G239&lt;&gt;"Vacant",$M239="",OR($K239&lt;&gt;"",$G239="Occupied")),"Yes","No"))</f>
        <v/>
      </c>
      <c r="M239" s="45" t="n"/>
      <c r="N239" s="24">
        <f>IF($B239="","",IF($G239="Vacant","Vacant",IF(L239="Yes","MTM",IF(M239="","",M239))))</f>
        <v/>
      </c>
      <c r="O239" s="9" t="n"/>
    </row>
    <row r="240">
      <c r="A240" s="1" t="n"/>
      <c r="B240" s="9" t="n"/>
      <c r="C240" s="9" t="n"/>
      <c r="D240" s="14" t="n"/>
      <c r="E240" s="56" t="n"/>
      <c r="F240" s="19" t="n"/>
      <c r="G240" s="9" t="n"/>
      <c r="H240" s="10" t="n"/>
      <c r="I240" s="80">
        <f>IF($F240&gt;0,$H240/$F240,"")</f>
        <v/>
      </c>
      <c r="J240" s="10" t="n"/>
      <c r="K240" s="45" t="n"/>
      <c r="L240" s="9">
        <f>IF($B240="","",IF(AND($G240&lt;&gt;"Vacant",$M240="",OR($K240&lt;&gt;"",$G240="Occupied")),"Yes","No"))</f>
        <v/>
      </c>
      <c r="M240" s="45" t="n"/>
      <c r="N240" s="24">
        <f>IF($B240="","",IF($G240="Vacant","Vacant",IF(L240="Yes","MTM",IF(M240="","",M240))))</f>
        <v/>
      </c>
      <c r="O240" s="9" t="n"/>
    </row>
    <row r="241">
      <c r="A241" s="1" t="n"/>
      <c r="B241" s="9" t="n"/>
      <c r="C241" s="9" t="n"/>
      <c r="D241" s="14" t="n"/>
      <c r="E241" s="56" t="n"/>
      <c r="F241" s="19" t="n"/>
      <c r="G241" s="9" t="n"/>
      <c r="H241" s="10" t="n"/>
      <c r="I241" s="80">
        <f>IF($F241&gt;0,$H241/$F241,"")</f>
        <v/>
      </c>
      <c r="J241" s="10" t="n"/>
      <c r="K241" s="45" t="n"/>
      <c r="L241" s="9">
        <f>IF($B241="","",IF(AND($G241&lt;&gt;"Vacant",$M241="",OR($K241&lt;&gt;"",$G241="Occupied")),"Yes","No"))</f>
        <v/>
      </c>
      <c r="M241" s="45" t="n"/>
      <c r="N241" s="24">
        <f>IF($B241="","",IF($G241="Vacant","Vacant",IF(L241="Yes","MTM",IF(M241="","",M241))))</f>
        <v/>
      </c>
      <c r="O241" s="9" t="n"/>
    </row>
    <row r="242">
      <c r="A242" s="1" t="n"/>
      <c r="B242" s="9" t="n"/>
      <c r="C242" s="9" t="n"/>
      <c r="D242" s="14" t="n"/>
      <c r="E242" s="56" t="n"/>
      <c r="F242" s="19" t="n"/>
      <c r="G242" s="9" t="n"/>
      <c r="H242" s="10" t="n"/>
      <c r="I242" s="80">
        <f>IF($F242&gt;0,$H242/$F242,"")</f>
        <v/>
      </c>
      <c r="J242" s="10" t="n"/>
      <c r="K242" s="45" t="n"/>
      <c r="L242" s="9">
        <f>IF($B242="","",IF(AND($G242&lt;&gt;"Vacant",$M242="",OR($K242&lt;&gt;"",$G242="Occupied")),"Yes","No"))</f>
        <v/>
      </c>
      <c r="M242" s="45" t="n"/>
      <c r="N242" s="24">
        <f>IF($B242="","",IF($G242="Vacant","Vacant",IF(L242="Yes","MTM",IF(M242="","",M242))))</f>
        <v/>
      </c>
      <c r="O242" s="9" t="n"/>
    </row>
    <row r="243">
      <c r="A243" s="1" t="n"/>
      <c r="B243" s="9" t="n"/>
      <c r="C243" s="9" t="n"/>
      <c r="D243" s="14" t="n"/>
      <c r="E243" s="56" t="n"/>
      <c r="F243" s="19" t="n"/>
      <c r="G243" s="9" t="n"/>
      <c r="H243" s="10" t="n"/>
      <c r="I243" s="80">
        <f>IF($F243&gt;0,$H243/$F243,"")</f>
        <v/>
      </c>
      <c r="J243" s="10" t="n"/>
      <c r="K243" s="45" t="n"/>
      <c r="L243" s="9">
        <f>IF($B243="","",IF(AND($G243&lt;&gt;"Vacant",$M243="",OR($K243&lt;&gt;"",$G243="Occupied")),"Yes","No"))</f>
        <v/>
      </c>
      <c r="M243" s="45" t="n"/>
      <c r="N243" s="24">
        <f>IF($B243="","",IF($G243="Vacant","Vacant",IF(L243="Yes","MTM",IF(M243="","",M243))))</f>
        <v/>
      </c>
      <c r="O243" s="9" t="n"/>
    </row>
    <row r="244">
      <c r="A244" s="1" t="n"/>
      <c r="B244" s="9" t="n"/>
      <c r="C244" s="9" t="n"/>
      <c r="D244" s="14" t="n"/>
      <c r="E244" s="56" t="n"/>
      <c r="F244" s="19" t="n"/>
      <c r="G244" s="9" t="n"/>
      <c r="H244" s="10" t="n"/>
      <c r="I244" s="80">
        <f>IF($F244&gt;0,$H244/$F244,"")</f>
        <v/>
      </c>
      <c r="J244" s="10" t="n"/>
      <c r="K244" s="45" t="n"/>
      <c r="L244" s="9">
        <f>IF($B244="","",IF(AND($G244&lt;&gt;"Vacant",$M244="",OR($K244&lt;&gt;"",$G244="Occupied")),"Yes","No"))</f>
        <v/>
      </c>
      <c r="M244" s="45" t="n"/>
      <c r="N244" s="24">
        <f>IF($B244="","",IF($G244="Vacant","Vacant",IF(L244="Yes","MTM",IF(M244="","",M244))))</f>
        <v/>
      </c>
      <c r="O244" s="9" t="n"/>
    </row>
    <row r="245">
      <c r="A245" s="1" t="n"/>
      <c r="B245" s="9" t="n"/>
      <c r="C245" s="9" t="n"/>
      <c r="D245" s="14" t="n"/>
      <c r="E245" s="56" t="n"/>
      <c r="F245" s="19" t="n"/>
      <c r="G245" s="9" t="n"/>
      <c r="H245" s="10" t="n"/>
      <c r="I245" s="80">
        <f>IF($F245&gt;0,$H245/$F245,"")</f>
        <v/>
      </c>
      <c r="J245" s="10" t="n"/>
      <c r="K245" s="45" t="n"/>
      <c r="L245" s="9">
        <f>IF($B245="","",IF(AND($G245&lt;&gt;"Vacant",$M245="",OR($K245&lt;&gt;"",$G245="Occupied")),"Yes","No"))</f>
        <v/>
      </c>
      <c r="M245" s="45" t="n"/>
      <c r="N245" s="24">
        <f>IF($B245="","",IF($G245="Vacant","Vacant",IF(L245="Yes","MTM",IF(M245="","",M245))))</f>
        <v/>
      </c>
      <c r="O245" s="9" t="n"/>
    </row>
    <row r="246">
      <c r="A246" s="1" t="n"/>
      <c r="B246" s="9" t="n"/>
      <c r="C246" s="9" t="n"/>
      <c r="D246" s="14" t="n"/>
      <c r="E246" s="56" t="n"/>
      <c r="F246" s="19" t="n"/>
      <c r="G246" s="9" t="n"/>
      <c r="H246" s="10" t="n"/>
      <c r="I246" s="80">
        <f>IF($F246&gt;0,$H246/$F246,"")</f>
        <v/>
      </c>
      <c r="J246" s="10" t="n"/>
      <c r="K246" s="45" t="n"/>
      <c r="L246" s="9">
        <f>IF($B246="","",IF(AND($G246&lt;&gt;"Vacant",$M246="",OR($K246&lt;&gt;"",$G246="Occupied")),"Yes","No"))</f>
        <v/>
      </c>
      <c r="M246" s="45" t="n"/>
      <c r="N246" s="24">
        <f>IF($B246="","",IF($G246="Vacant","Vacant",IF(L246="Yes","MTM",IF(M246="","",M246))))</f>
        <v/>
      </c>
      <c r="O246" s="9" t="n"/>
    </row>
    <row r="247">
      <c r="A247" s="1" t="n"/>
      <c r="B247" s="9" t="n"/>
      <c r="C247" s="9" t="n"/>
      <c r="D247" s="14" t="n"/>
      <c r="E247" s="56" t="n"/>
      <c r="F247" s="19" t="n"/>
      <c r="G247" s="9" t="n"/>
      <c r="H247" s="10" t="n"/>
      <c r="I247" s="80">
        <f>IF($F247&gt;0,$H247/$F247,"")</f>
        <v/>
      </c>
      <c r="J247" s="10" t="n"/>
      <c r="K247" s="45" t="n"/>
      <c r="L247" s="9">
        <f>IF($B247="","",IF(AND($G247&lt;&gt;"Vacant",$M247="",OR($K247&lt;&gt;"",$G247="Occupied")),"Yes","No"))</f>
        <v/>
      </c>
      <c r="M247" s="45" t="n"/>
      <c r="N247" s="24">
        <f>IF($B247="","",IF($G247="Vacant","Vacant",IF(L247="Yes","MTM",IF(M247="","",M247))))</f>
        <v/>
      </c>
      <c r="O247" s="9" t="n"/>
    </row>
    <row r="248">
      <c r="A248" s="1" t="n"/>
      <c r="B248" s="9" t="n"/>
      <c r="C248" s="9" t="n"/>
      <c r="D248" s="14" t="n"/>
      <c r="E248" s="56" t="n"/>
      <c r="F248" s="19" t="n"/>
      <c r="G248" s="9" t="n"/>
      <c r="H248" s="10" t="n"/>
      <c r="I248" s="80">
        <f>IF($F248&gt;0,$H248/$F248,"")</f>
        <v/>
      </c>
      <c r="J248" s="10" t="n"/>
      <c r="K248" s="45" t="n"/>
      <c r="L248" s="9">
        <f>IF($B248="","",IF(AND($G248&lt;&gt;"Vacant",$M248="",OR($K248&lt;&gt;"",$G248="Occupied")),"Yes","No"))</f>
        <v/>
      </c>
      <c r="M248" s="45" t="n"/>
      <c r="N248" s="24">
        <f>IF($B248="","",IF($G248="Vacant","Vacant",IF(L248="Yes","MTM",IF(M248="","",M248))))</f>
        <v/>
      </c>
      <c r="O248" s="9" t="n"/>
    </row>
    <row r="249">
      <c r="A249" s="1" t="n"/>
      <c r="B249" s="9" t="n"/>
      <c r="C249" s="9" t="n"/>
      <c r="D249" s="14" t="n"/>
      <c r="E249" s="56" t="n"/>
      <c r="F249" s="19" t="n"/>
      <c r="G249" s="9" t="n"/>
      <c r="H249" s="10" t="n"/>
      <c r="I249" s="80">
        <f>IF($F249&gt;0,$H249/$F249,"")</f>
        <v/>
      </c>
      <c r="J249" s="10" t="n"/>
      <c r="K249" s="45" t="n"/>
      <c r="L249" s="9">
        <f>IF($B249="","",IF(AND($G249&lt;&gt;"Vacant",$M249="",OR($K249&lt;&gt;"",$G249="Occupied")),"Yes","No"))</f>
        <v/>
      </c>
      <c r="M249" s="45" t="n"/>
      <c r="N249" s="24">
        <f>IF($B249="","",IF($G249="Vacant","Vacant",IF(L249="Yes","MTM",IF(M249="","",M249))))</f>
        <v/>
      </c>
      <c r="O249" s="9" t="n"/>
    </row>
    <row r="250">
      <c r="A250" s="1" t="n"/>
      <c r="B250" s="9" t="n"/>
      <c r="C250" s="9" t="n"/>
      <c r="D250" s="14" t="n"/>
      <c r="E250" s="56" t="n"/>
      <c r="F250" s="19" t="n"/>
      <c r="G250" s="9" t="n"/>
      <c r="H250" s="10" t="n"/>
      <c r="I250" s="80">
        <f>IF($F250&gt;0,$H250/$F250,"")</f>
        <v/>
      </c>
      <c r="J250" s="10" t="n"/>
      <c r="K250" s="45" t="n"/>
      <c r="L250" s="9">
        <f>IF($B250="","",IF(AND($G250&lt;&gt;"Vacant",$M250="",OR($K250&lt;&gt;"",$G250="Occupied")),"Yes","No"))</f>
        <v/>
      </c>
      <c r="M250" s="45" t="n"/>
      <c r="N250" s="24">
        <f>IF($B250="","",IF($G250="Vacant","Vacant",IF(L250="Yes","MTM",IF(M250="","",M250))))</f>
        <v/>
      </c>
      <c r="O250" s="9" t="n"/>
    </row>
    <row r="251">
      <c r="A251" s="1" t="n"/>
      <c r="B251" s="9" t="n"/>
      <c r="C251" s="9" t="n"/>
      <c r="D251" s="14" t="n"/>
      <c r="E251" s="56" t="n"/>
      <c r="F251" s="19" t="n"/>
      <c r="G251" s="9" t="n"/>
      <c r="H251" s="10" t="n"/>
      <c r="I251" s="80">
        <f>IF($F251&gt;0,$H251/$F251,"")</f>
        <v/>
      </c>
      <c r="J251" s="10" t="n"/>
      <c r="K251" s="45" t="n"/>
      <c r="L251" s="9">
        <f>IF($B251="","",IF(AND($G251&lt;&gt;"Vacant",$M251="",OR($K251&lt;&gt;"",$G251="Occupied")),"Yes","No"))</f>
        <v/>
      </c>
      <c r="M251" s="45" t="n"/>
      <c r="N251" s="24">
        <f>IF($B251="","",IF($G251="Vacant","Vacant",IF(L251="Yes","MTM",IF(M251="","",M251))))</f>
        <v/>
      </c>
      <c r="O251" s="9" t="n"/>
    </row>
    <row r="252">
      <c r="A252" s="1" t="n"/>
      <c r="B252" s="9" t="n"/>
      <c r="C252" s="9" t="n"/>
      <c r="D252" s="14" t="n"/>
      <c r="E252" s="56" t="n"/>
      <c r="F252" s="19" t="n"/>
      <c r="G252" s="9" t="n"/>
      <c r="H252" s="10" t="n"/>
      <c r="I252" s="80">
        <f>IF($F252&gt;0,$H252/$F252,"")</f>
        <v/>
      </c>
      <c r="J252" s="10" t="n"/>
      <c r="K252" s="45" t="n"/>
      <c r="L252" s="9">
        <f>IF($B252="","",IF(AND($G252&lt;&gt;"Vacant",$M252="",OR($K252&lt;&gt;"",$G252="Occupied")),"Yes","No"))</f>
        <v/>
      </c>
      <c r="M252" s="45" t="n"/>
      <c r="N252" s="24">
        <f>IF($B252="","",IF($G252="Vacant","Vacant",IF(L252="Yes","MTM",IF(M252="","",M252))))</f>
        <v/>
      </c>
      <c r="O252" s="9" t="n"/>
    </row>
    <row r="253">
      <c r="A253" s="1" t="n"/>
      <c r="B253" s="9" t="n"/>
      <c r="C253" s="9" t="n"/>
      <c r="D253" s="14" t="n"/>
      <c r="E253" s="56" t="n"/>
      <c r="F253" s="19" t="n"/>
      <c r="G253" s="9" t="n"/>
      <c r="H253" s="10" t="n"/>
      <c r="I253" s="80">
        <f>IF($F253&gt;0,$H253/$F253,"")</f>
        <v/>
      </c>
      <c r="J253" s="10" t="n"/>
      <c r="K253" s="45" t="n"/>
      <c r="L253" s="9">
        <f>IF($B253="","",IF(AND($G253&lt;&gt;"Vacant",$M253="",OR($K253&lt;&gt;"",$G253="Occupied")),"Yes","No"))</f>
        <v/>
      </c>
      <c r="M253" s="45" t="n"/>
      <c r="N253" s="24">
        <f>IF($B253="","",IF($G253="Vacant","Vacant",IF(L253="Yes","MTM",IF(M253="","",M253))))</f>
        <v/>
      </c>
      <c r="O253" s="9" t="n"/>
    </row>
    <row r="254">
      <c r="A254" s="1" t="n"/>
      <c r="B254" s="9" t="n"/>
      <c r="C254" s="9" t="n"/>
      <c r="D254" s="14" t="n"/>
      <c r="E254" s="56" t="n"/>
      <c r="F254" s="19" t="n"/>
      <c r="G254" s="9" t="n"/>
      <c r="H254" s="10" t="n"/>
      <c r="I254" s="80">
        <f>IF($F254&gt;0,$H254/$F254,"")</f>
        <v/>
      </c>
      <c r="J254" s="10" t="n"/>
      <c r="K254" s="45" t="n"/>
      <c r="L254" s="9">
        <f>IF($B254="","",IF(AND($G254&lt;&gt;"Vacant",$M254="",OR($K254&lt;&gt;"",$G254="Occupied")),"Yes","No"))</f>
        <v/>
      </c>
      <c r="M254" s="45" t="n"/>
      <c r="N254" s="24">
        <f>IF($B254="","",IF($G254="Vacant","Vacant",IF(L254="Yes","MTM",IF(M254="","",M254))))</f>
        <v/>
      </c>
      <c r="O254" s="9" t="n"/>
    </row>
    <row r="255">
      <c r="A255" s="1" t="n"/>
      <c r="B255" s="9" t="n"/>
      <c r="C255" s="9" t="n"/>
      <c r="D255" s="14" t="n"/>
      <c r="E255" s="56" t="n"/>
      <c r="F255" s="19" t="n"/>
      <c r="G255" s="9" t="n"/>
      <c r="H255" s="10" t="n"/>
      <c r="I255" s="80">
        <f>IF($F255&gt;0,$H255/$F255,"")</f>
        <v/>
      </c>
      <c r="J255" s="10" t="n"/>
      <c r="K255" s="45" t="n"/>
      <c r="L255" s="9">
        <f>IF($B255="","",IF(AND($G255&lt;&gt;"Vacant",$M255="",OR($K255&lt;&gt;"",$G255="Occupied")),"Yes","No"))</f>
        <v/>
      </c>
      <c r="M255" s="45" t="n"/>
      <c r="N255" s="24">
        <f>IF($B255="","",IF($G255="Vacant","Vacant",IF(L255="Yes","MTM",IF(M255="","",M255))))</f>
        <v/>
      </c>
      <c r="O255" s="9" t="n"/>
    </row>
    <row r="256">
      <c r="A256" s="1" t="n"/>
      <c r="B256" s="9" t="n"/>
      <c r="C256" s="9" t="n"/>
      <c r="D256" s="14" t="n"/>
      <c r="E256" s="56" t="n"/>
      <c r="F256" s="19" t="n"/>
      <c r="G256" s="9" t="n"/>
      <c r="H256" s="10" t="n"/>
      <c r="I256" s="80">
        <f>IF($F256&gt;0,$H256/$F256,"")</f>
        <v/>
      </c>
      <c r="J256" s="10" t="n"/>
      <c r="K256" s="45" t="n"/>
      <c r="L256" s="9">
        <f>IF($B256="","",IF(AND($G256&lt;&gt;"Vacant",$M256="",OR($K256&lt;&gt;"",$G256="Occupied")),"Yes","No"))</f>
        <v/>
      </c>
      <c r="M256" s="45" t="n"/>
      <c r="N256" s="24">
        <f>IF($B256="","",IF($G256="Vacant","Vacant",IF(L256="Yes","MTM",IF(M256="","",M256))))</f>
        <v/>
      </c>
      <c r="O256" s="9" t="n"/>
    </row>
    <row r="257">
      <c r="A257" s="1" t="n"/>
      <c r="B257" s="9" t="n"/>
      <c r="C257" s="9" t="n"/>
      <c r="D257" s="14" t="n"/>
      <c r="E257" s="56" t="n"/>
      <c r="F257" s="19" t="n"/>
      <c r="G257" s="9" t="n"/>
      <c r="H257" s="10" t="n"/>
      <c r="I257" s="80">
        <f>IF($F257&gt;0,$H257/$F257,"")</f>
        <v/>
      </c>
      <c r="J257" s="10" t="n"/>
      <c r="K257" s="45" t="n"/>
      <c r="L257" s="9">
        <f>IF($B257="","",IF(AND($G257&lt;&gt;"Vacant",$M257="",OR($K257&lt;&gt;"",$G257="Occupied")),"Yes","No"))</f>
        <v/>
      </c>
      <c r="M257" s="45" t="n"/>
      <c r="N257" s="24">
        <f>IF($B257="","",IF($G257="Vacant","Vacant",IF(L257="Yes","MTM",IF(M257="","",M257))))</f>
        <v/>
      </c>
      <c r="O257" s="9" t="n"/>
    </row>
    <row r="258">
      <c r="A258" s="1" t="n"/>
      <c r="B258" s="9" t="n"/>
      <c r="C258" s="9" t="n"/>
      <c r="D258" s="14" t="n"/>
      <c r="E258" s="56" t="n"/>
      <c r="F258" s="19" t="n"/>
      <c r="G258" s="9" t="n"/>
      <c r="H258" s="10" t="n"/>
      <c r="I258" s="80">
        <f>IF($F258&gt;0,$H258/$F258,"")</f>
        <v/>
      </c>
      <c r="J258" s="10" t="n"/>
      <c r="K258" s="45" t="n"/>
      <c r="L258" s="9">
        <f>IF($B258="","",IF(AND($G258&lt;&gt;"Vacant",$M258="",OR($K258&lt;&gt;"",$G258="Occupied")),"Yes","No"))</f>
        <v/>
      </c>
      <c r="M258" s="45" t="n"/>
      <c r="N258" s="24">
        <f>IF($B258="","",IF($G258="Vacant","Vacant",IF(L258="Yes","MTM",IF(M258="","",M258))))</f>
        <v/>
      </c>
      <c r="O258" s="9" t="n"/>
    </row>
    <row r="259">
      <c r="A259" s="1" t="n"/>
      <c r="B259" s="9" t="n"/>
      <c r="C259" s="9" t="n"/>
      <c r="D259" s="14" t="n"/>
      <c r="E259" s="56" t="n"/>
      <c r="F259" s="19" t="n"/>
      <c r="G259" s="9" t="n"/>
      <c r="H259" s="10" t="n"/>
      <c r="I259" s="80">
        <f>IF($F259&gt;0,$H259/$F259,"")</f>
        <v/>
      </c>
      <c r="J259" s="10" t="n"/>
      <c r="K259" s="45" t="n"/>
      <c r="L259" s="9">
        <f>IF($B259="","",IF(AND($G259&lt;&gt;"Vacant",$M259="",OR($K259&lt;&gt;"",$G259="Occupied")),"Yes","No"))</f>
        <v/>
      </c>
      <c r="M259" s="45" t="n"/>
      <c r="N259" s="24">
        <f>IF($B259="","",IF($G259="Vacant","Vacant",IF(L259="Yes","MTM",IF(M259="","",M259))))</f>
        <v/>
      </c>
      <c r="O259" s="9" t="n"/>
    </row>
    <row r="260">
      <c r="A260" s="1" t="n"/>
      <c r="B260" s="9" t="n"/>
      <c r="C260" s="9" t="n"/>
      <c r="D260" s="14" t="n"/>
      <c r="E260" s="56" t="n"/>
      <c r="F260" s="19" t="n"/>
      <c r="G260" s="9" t="n"/>
      <c r="H260" s="10" t="n"/>
      <c r="I260" s="80">
        <f>IF($F260&gt;0,$H260/$F260,"")</f>
        <v/>
      </c>
      <c r="J260" s="10" t="n"/>
      <c r="K260" s="45" t="n"/>
      <c r="L260" s="9">
        <f>IF($B260="","",IF(AND($G260&lt;&gt;"Vacant",$M260="",OR($K260&lt;&gt;"",$G260="Occupied")),"Yes","No"))</f>
        <v/>
      </c>
      <c r="M260" s="45" t="n"/>
      <c r="N260" s="24">
        <f>IF($B260="","",IF($G260="Vacant","Vacant",IF(L260="Yes","MTM",IF(M260="","",M260))))</f>
        <v/>
      </c>
      <c r="O260" s="9" t="n"/>
    </row>
    <row r="261">
      <c r="A261" s="1" t="n"/>
      <c r="B261" s="9" t="n"/>
      <c r="C261" s="9" t="n"/>
      <c r="D261" s="14" t="n"/>
      <c r="E261" s="56" t="n"/>
      <c r="F261" s="19" t="n"/>
      <c r="G261" s="9" t="n"/>
      <c r="H261" s="10" t="n"/>
      <c r="I261" s="80">
        <f>IF($F261&gt;0,$H261/$F261,"")</f>
        <v/>
      </c>
      <c r="J261" s="10" t="n"/>
      <c r="K261" s="45" t="n"/>
      <c r="L261" s="9">
        <f>IF($B261="","",IF(AND($G261&lt;&gt;"Vacant",$M261="",OR($K261&lt;&gt;"",$G261="Occupied")),"Yes","No"))</f>
        <v/>
      </c>
      <c r="M261" s="45" t="n"/>
      <c r="N261" s="24">
        <f>IF($B261="","",IF($G261="Vacant","Vacant",IF(L261="Yes","MTM",IF(M261="","",M261))))</f>
        <v/>
      </c>
      <c r="O261" s="9" t="n"/>
    </row>
    <row r="262">
      <c r="A262" s="1" t="n"/>
      <c r="B262" s="9" t="n"/>
      <c r="C262" s="9" t="n"/>
      <c r="D262" s="14" t="n"/>
      <c r="E262" s="56" t="n"/>
      <c r="F262" s="19" t="n"/>
      <c r="G262" s="9" t="n"/>
      <c r="H262" s="10" t="n"/>
      <c r="I262" s="80">
        <f>IF($F262&gt;0,$H262/$F262,"")</f>
        <v/>
      </c>
      <c r="J262" s="10" t="n"/>
      <c r="K262" s="45" t="n"/>
      <c r="L262" s="9">
        <f>IF($B262="","",IF(AND($G262&lt;&gt;"Vacant",$M262="",OR($K262&lt;&gt;"",$G262="Occupied")),"Yes","No"))</f>
        <v/>
      </c>
      <c r="M262" s="45" t="n"/>
      <c r="N262" s="24">
        <f>IF($B262="","",IF($G262="Vacant","Vacant",IF(L262="Yes","MTM",IF(M262="","",M262))))</f>
        <v/>
      </c>
      <c r="O262" s="9" t="n"/>
    </row>
    <row r="263">
      <c r="A263" s="1" t="n"/>
      <c r="B263" s="9" t="n"/>
      <c r="C263" s="9" t="n"/>
      <c r="D263" s="14" t="n"/>
      <c r="E263" s="56" t="n"/>
      <c r="F263" s="19" t="n"/>
      <c r="G263" s="9" t="n"/>
      <c r="H263" s="10" t="n"/>
      <c r="I263" s="80">
        <f>IF($F263&gt;0,$H263/$F263,"")</f>
        <v/>
      </c>
      <c r="J263" s="10" t="n"/>
      <c r="K263" s="45" t="n"/>
      <c r="L263" s="9">
        <f>IF($B263="","",IF(AND($G263&lt;&gt;"Vacant",$M263="",OR($K263&lt;&gt;"",$G263="Occupied")),"Yes","No"))</f>
        <v/>
      </c>
      <c r="M263" s="45" t="n"/>
      <c r="N263" s="24">
        <f>IF($B263="","",IF($G263="Vacant","Vacant",IF(L263="Yes","MTM",IF(M263="","",M263))))</f>
        <v/>
      </c>
      <c r="O263" s="9" t="n"/>
    </row>
    <row r="264">
      <c r="A264" s="1" t="n"/>
      <c r="B264" s="9" t="n"/>
      <c r="C264" s="9" t="n"/>
      <c r="D264" s="14" t="n"/>
      <c r="E264" s="56" t="n"/>
      <c r="F264" s="19" t="n"/>
      <c r="G264" s="9" t="n"/>
      <c r="H264" s="10" t="n"/>
      <c r="I264" s="80">
        <f>IF($F264&gt;0,$H264/$F264,"")</f>
        <v/>
      </c>
      <c r="J264" s="10" t="n"/>
      <c r="K264" s="45" t="n"/>
      <c r="L264" s="9">
        <f>IF($B264="","",IF(AND($G264&lt;&gt;"Vacant",$M264="",OR($K264&lt;&gt;"",$G264="Occupied")),"Yes","No"))</f>
        <v/>
      </c>
      <c r="M264" s="45" t="n"/>
      <c r="N264" s="24">
        <f>IF($B264="","",IF($G264="Vacant","Vacant",IF(L264="Yes","MTM",IF(M264="","",M264))))</f>
        <v/>
      </c>
      <c r="O264" s="9" t="n"/>
    </row>
    <row r="265">
      <c r="A265" s="1" t="n"/>
      <c r="B265" s="9" t="n"/>
      <c r="C265" s="9" t="n"/>
      <c r="D265" s="14" t="n"/>
      <c r="E265" s="56" t="n"/>
      <c r="F265" s="19" t="n"/>
      <c r="G265" s="9" t="n"/>
      <c r="H265" s="10" t="n"/>
      <c r="I265" s="80">
        <f>IF($F265&gt;0,$H265/$F265,"")</f>
        <v/>
      </c>
      <c r="J265" s="10" t="n"/>
      <c r="K265" s="45" t="n"/>
      <c r="L265" s="9">
        <f>IF($B265="","",IF(AND($G265&lt;&gt;"Vacant",$M265="",OR($K265&lt;&gt;"",$G265="Occupied")),"Yes","No"))</f>
        <v/>
      </c>
      <c r="M265" s="45" t="n"/>
      <c r="N265" s="24">
        <f>IF($B265="","",IF($G265="Vacant","Vacant",IF(L265="Yes","MTM",IF(M265="","",M265))))</f>
        <v/>
      </c>
      <c r="O265" s="9" t="n"/>
    </row>
    <row r="266">
      <c r="A266" s="1" t="n"/>
      <c r="B266" s="9" t="n"/>
      <c r="C266" s="9" t="n"/>
      <c r="D266" s="14" t="n"/>
      <c r="E266" s="56" t="n"/>
      <c r="F266" s="19" t="n"/>
      <c r="G266" s="9" t="n"/>
      <c r="H266" s="10" t="n"/>
      <c r="I266" s="80">
        <f>IF($F266&gt;0,$H266/$F266,"")</f>
        <v/>
      </c>
      <c r="J266" s="10" t="n"/>
      <c r="K266" s="45" t="n"/>
      <c r="L266" s="9">
        <f>IF($B266="","",IF(AND($G266&lt;&gt;"Vacant",$M266="",OR($K266&lt;&gt;"",$G266="Occupied")),"Yes","No"))</f>
        <v/>
      </c>
      <c r="M266" s="45" t="n"/>
      <c r="N266" s="24">
        <f>IF($B266="","",IF($G266="Vacant","Vacant",IF(L266="Yes","MTM",IF(M266="","",M266))))</f>
        <v/>
      </c>
      <c r="O266" s="9" t="n"/>
    </row>
    <row r="267">
      <c r="A267" s="1" t="n"/>
      <c r="B267" s="9" t="n"/>
      <c r="C267" s="9" t="n"/>
      <c r="D267" s="14" t="n"/>
      <c r="E267" s="56" t="n"/>
      <c r="F267" s="19" t="n"/>
      <c r="G267" s="9" t="n"/>
      <c r="H267" s="10" t="n"/>
      <c r="I267" s="80">
        <f>IF($F267&gt;0,$H267/$F267,"")</f>
        <v/>
      </c>
      <c r="J267" s="10" t="n"/>
      <c r="K267" s="45" t="n"/>
      <c r="L267" s="9">
        <f>IF($B267="","",IF(AND($G267&lt;&gt;"Vacant",$M267="",OR($K267&lt;&gt;"",$G267="Occupied")),"Yes","No"))</f>
        <v/>
      </c>
      <c r="M267" s="45" t="n"/>
      <c r="N267" s="24">
        <f>IF($B267="","",IF($G267="Vacant","Vacant",IF(L267="Yes","MTM",IF(M267="","",M267))))</f>
        <v/>
      </c>
      <c r="O267" s="9" t="n"/>
    </row>
    <row r="268">
      <c r="A268" s="1" t="n"/>
      <c r="B268" s="9" t="n"/>
      <c r="C268" s="9" t="n"/>
      <c r="D268" s="14" t="n"/>
      <c r="E268" s="56" t="n"/>
      <c r="F268" s="19" t="n"/>
      <c r="G268" s="9" t="n"/>
      <c r="H268" s="10" t="n"/>
      <c r="I268" s="80">
        <f>IF($F268&gt;0,$H268/$F268,"")</f>
        <v/>
      </c>
      <c r="J268" s="10" t="n"/>
      <c r="K268" s="45" t="n"/>
      <c r="L268" s="9">
        <f>IF($B268="","",IF(AND($G268&lt;&gt;"Vacant",$M268="",OR($K268&lt;&gt;"",$G268="Occupied")),"Yes","No"))</f>
        <v/>
      </c>
      <c r="M268" s="45" t="n"/>
      <c r="N268" s="24">
        <f>IF($B268="","",IF($G268="Vacant","Vacant",IF(L268="Yes","MTM",IF(M268="","",M268))))</f>
        <v/>
      </c>
      <c r="O268" s="9" t="n"/>
    </row>
    <row r="269">
      <c r="A269" s="1" t="n"/>
      <c r="B269" s="9" t="n"/>
      <c r="C269" s="9" t="n"/>
      <c r="D269" s="14" t="n"/>
      <c r="E269" s="56" t="n"/>
      <c r="F269" s="19" t="n"/>
      <c r="G269" s="9" t="n"/>
      <c r="H269" s="10" t="n"/>
      <c r="I269" s="80">
        <f>IF($F269&gt;0,$H269/$F269,"")</f>
        <v/>
      </c>
      <c r="J269" s="10" t="n"/>
      <c r="K269" s="45" t="n"/>
      <c r="L269" s="9">
        <f>IF($B269="","",IF(AND($G269&lt;&gt;"Vacant",$M269="",OR($K269&lt;&gt;"",$G269="Occupied")),"Yes","No"))</f>
        <v/>
      </c>
      <c r="M269" s="45" t="n"/>
      <c r="N269" s="24">
        <f>IF($B269="","",IF($G269="Vacant","Vacant",IF(L269="Yes","MTM",IF(M269="","",M269))))</f>
        <v/>
      </c>
      <c r="O269" s="9" t="n"/>
    </row>
    <row r="270">
      <c r="A270" s="1" t="n"/>
      <c r="B270" s="9" t="n"/>
      <c r="C270" s="9" t="n"/>
      <c r="D270" s="14" t="n"/>
      <c r="E270" s="56" t="n"/>
      <c r="F270" s="19" t="n"/>
      <c r="G270" s="9" t="n"/>
      <c r="H270" s="10" t="n"/>
      <c r="I270" s="80">
        <f>IF($F270&gt;0,$H270/$F270,"")</f>
        <v/>
      </c>
      <c r="J270" s="10" t="n"/>
      <c r="K270" s="45" t="n"/>
      <c r="L270" s="9">
        <f>IF($B270="","",IF(AND($G270&lt;&gt;"Vacant",$M270="",OR($K270&lt;&gt;"",$G270="Occupied")),"Yes","No"))</f>
        <v/>
      </c>
      <c r="M270" s="45" t="n"/>
      <c r="N270" s="24">
        <f>IF($B270="","",IF($G270="Vacant","Vacant",IF(L270="Yes","MTM",IF(M270="","",M270))))</f>
        <v/>
      </c>
      <c r="O270" s="9" t="n"/>
    </row>
    <row r="271">
      <c r="A271" s="1" t="n"/>
      <c r="B271" s="9" t="n"/>
      <c r="C271" s="9" t="n"/>
      <c r="D271" s="14" t="n"/>
      <c r="E271" s="56" t="n"/>
      <c r="F271" s="19" t="n"/>
      <c r="G271" s="9" t="n"/>
      <c r="H271" s="10" t="n"/>
      <c r="I271" s="80">
        <f>IF($F271&gt;0,$H271/$F271,"")</f>
        <v/>
      </c>
      <c r="J271" s="10" t="n"/>
      <c r="K271" s="45" t="n"/>
      <c r="L271" s="9">
        <f>IF($B271="","",IF(AND($G271&lt;&gt;"Vacant",$M271="",OR($K271&lt;&gt;"",$G271="Occupied")),"Yes","No"))</f>
        <v/>
      </c>
      <c r="M271" s="45" t="n"/>
      <c r="N271" s="24">
        <f>IF($B271="","",IF($G271="Vacant","Vacant",IF(L271="Yes","MTM",IF(M271="","",M271))))</f>
        <v/>
      </c>
      <c r="O271" s="9" t="n"/>
    </row>
    <row r="272">
      <c r="A272" s="1" t="n"/>
      <c r="B272" s="9" t="n"/>
      <c r="C272" s="9" t="n"/>
      <c r="D272" s="14" t="n"/>
      <c r="E272" s="56" t="n"/>
      <c r="F272" s="19" t="n"/>
      <c r="G272" s="9" t="n"/>
      <c r="H272" s="10" t="n"/>
      <c r="I272" s="80">
        <f>IF($F272&gt;0,$H272/$F272,"")</f>
        <v/>
      </c>
      <c r="J272" s="10" t="n"/>
      <c r="K272" s="45" t="n"/>
      <c r="L272" s="9">
        <f>IF($B272="","",IF(AND($G272&lt;&gt;"Vacant",$M272="",OR($K272&lt;&gt;"",$G272="Occupied")),"Yes","No"))</f>
        <v/>
      </c>
      <c r="M272" s="45" t="n"/>
      <c r="N272" s="24">
        <f>IF($B272="","",IF($G272="Vacant","Vacant",IF(L272="Yes","MTM",IF(M272="","",M272))))</f>
        <v/>
      </c>
      <c r="O272" s="9" t="n"/>
    </row>
    <row r="273">
      <c r="A273" s="1" t="n"/>
      <c r="B273" s="9" t="n"/>
      <c r="C273" s="9" t="n"/>
      <c r="D273" s="14" t="n"/>
      <c r="E273" s="56" t="n"/>
      <c r="F273" s="19" t="n"/>
      <c r="G273" s="9" t="n"/>
      <c r="H273" s="10" t="n"/>
      <c r="I273" s="80">
        <f>IF($F273&gt;0,$H273/$F273,"")</f>
        <v/>
      </c>
      <c r="J273" s="10" t="n"/>
      <c r="K273" s="45" t="n"/>
      <c r="L273" s="9">
        <f>IF($B273="","",IF(AND($G273&lt;&gt;"Vacant",$M273="",OR($K273&lt;&gt;"",$G273="Occupied")),"Yes","No"))</f>
        <v/>
      </c>
      <c r="M273" s="45" t="n"/>
      <c r="N273" s="24">
        <f>IF($B273="","",IF($G273="Vacant","Vacant",IF(L273="Yes","MTM",IF(M273="","",M273))))</f>
        <v/>
      </c>
      <c r="O273" s="9" t="n"/>
    </row>
    <row r="274">
      <c r="A274" s="1" t="n"/>
      <c r="B274" s="9" t="n"/>
      <c r="C274" s="9" t="n"/>
      <c r="D274" s="14" t="n"/>
      <c r="E274" s="56" t="n"/>
      <c r="F274" s="19" t="n"/>
      <c r="G274" s="9" t="n"/>
      <c r="H274" s="10" t="n"/>
      <c r="I274" s="80">
        <f>IF($F274&gt;0,$H274/$F274,"")</f>
        <v/>
      </c>
      <c r="J274" s="10" t="n"/>
      <c r="K274" s="45" t="n"/>
      <c r="L274" s="9">
        <f>IF($B274="","",IF(AND($G274&lt;&gt;"Vacant",$M274="",OR($K274&lt;&gt;"",$G274="Occupied")),"Yes","No"))</f>
        <v/>
      </c>
      <c r="M274" s="45" t="n"/>
      <c r="N274" s="24">
        <f>IF($B274="","",IF($G274="Vacant","Vacant",IF(L274="Yes","MTM",IF(M274="","",M274))))</f>
        <v/>
      </c>
      <c r="O274" s="9" t="n"/>
    </row>
    <row r="275">
      <c r="A275" s="1" t="n"/>
      <c r="B275" s="9" t="n"/>
      <c r="C275" s="9" t="n"/>
      <c r="D275" s="14" t="n"/>
      <c r="E275" s="56" t="n"/>
      <c r="F275" s="19" t="n"/>
      <c r="G275" s="9" t="n"/>
      <c r="H275" s="10" t="n"/>
      <c r="I275" s="80">
        <f>IF($F275&gt;0,$H275/$F275,"")</f>
        <v/>
      </c>
      <c r="J275" s="10" t="n"/>
      <c r="K275" s="45" t="n"/>
      <c r="L275" s="9">
        <f>IF($B275="","",IF(AND($G275&lt;&gt;"Vacant",$M275="",OR($K275&lt;&gt;"",$G275="Occupied")),"Yes","No"))</f>
        <v/>
      </c>
      <c r="M275" s="45" t="n"/>
      <c r="N275" s="24">
        <f>IF($B275="","",IF($G275="Vacant","Vacant",IF(L275="Yes","MTM",IF(M275="","",M275))))</f>
        <v/>
      </c>
      <c r="O275" s="9" t="n"/>
    </row>
    <row r="276">
      <c r="A276" s="1" t="n"/>
      <c r="B276" s="9" t="n"/>
      <c r="C276" s="9" t="n"/>
      <c r="D276" s="14" t="n"/>
      <c r="E276" s="56" t="n"/>
      <c r="F276" s="19" t="n"/>
      <c r="G276" s="9" t="n"/>
      <c r="H276" s="10" t="n"/>
      <c r="I276" s="80">
        <f>IF($F276&gt;0,$H276/$F276,"")</f>
        <v/>
      </c>
      <c r="J276" s="10" t="n"/>
      <c r="K276" s="45" t="n"/>
      <c r="L276" s="9">
        <f>IF($B276="","",IF(AND($G276&lt;&gt;"Vacant",$M276="",OR($K276&lt;&gt;"",$G276="Occupied")),"Yes","No"))</f>
        <v/>
      </c>
      <c r="M276" s="45" t="n"/>
      <c r="N276" s="24">
        <f>IF($B276="","",IF($G276="Vacant","Vacant",IF(L276="Yes","MTM",IF(M276="","",M276))))</f>
        <v/>
      </c>
      <c r="O276" s="9" t="n"/>
    </row>
    <row r="277">
      <c r="A277" s="1" t="n"/>
      <c r="B277" s="9" t="n"/>
      <c r="C277" s="9" t="n"/>
      <c r="D277" s="14" t="n"/>
      <c r="E277" s="56" t="n"/>
      <c r="F277" s="19" t="n"/>
      <c r="G277" s="9" t="n"/>
      <c r="H277" s="10" t="n"/>
      <c r="I277" s="80">
        <f>IF($F277&gt;0,$H277/$F277,"")</f>
        <v/>
      </c>
      <c r="J277" s="10" t="n"/>
      <c r="K277" s="45" t="n"/>
      <c r="L277" s="9">
        <f>IF($B277="","",IF(AND($G277&lt;&gt;"Vacant",$M277="",OR($K277&lt;&gt;"",$G277="Occupied")),"Yes","No"))</f>
        <v/>
      </c>
      <c r="M277" s="45" t="n"/>
      <c r="N277" s="24">
        <f>IF($B277="","",IF($G277="Vacant","Vacant",IF(L277="Yes","MTM",IF(M277="","",M277))))</f>
        <v/>
      </c>
      <c r="O277" s="9" t="n"/>
    </row>
    <row r="278">
      <c r="A278" s="1" t="n"/>
      <c r="B278" s="9" t="n"/>
      <c r="C278" s="9" t="n"/>
      <c r="D278" s="14" t="n"/>
      <c r="E278" s="56" t="n"/>
      <c r="F278" s="19" t="n"/>
      <c r="G278" s="9" t="n"/>
      <c r="H278" s="10" t="n"/>
      <c r="I278" s="80">
        <f>IF($F278&gt;0,$H278/$F278,"")</f>
        <v/>
      </c>
      <c r="J278" s="10" t="n"/>
      <c r="K278" s="45" t="n"/>
      <c r="L278" s="9">
        <f>IF($B278="","",IF(AND($G278&lt;&gt;"Vacant",$M278="",OR($K278&lt;&gt;"",$G278="Occupied")),"Yes","No"))</f>
        <v/>
      </c>
      <c r="M278" s="45" t="n"/>
      <c r="N278" s="24">
        <f>IF($B278="","",IF($G278="Vacant","Vacant",IF(L278="Yes","MTM",IF(M278="","",M278))))</f>
        <v/>
      </c>
      <c r="O278" s="9" t="n"/>
    </row>
    <row r="279">
      <c r="A279" s="1" t="n"/>
      <c r="B279" s="9" t="n"/>
      <c r="C279" s="9" t="n"/>
      <c r="D279" s="14" t="n"/>
      <c r="E279" s="56" t="n"/>
      <c r="F279" s="19" t="n"/>
      <c r="G279" s="9" t="n"/>
      <c r="H279" s="10" t="n"/>
      <c r="I279" s="80">
        <f>IF($F279&gt;0,$H279/$F279,"")</f>
        <v/>
      </c>
      <c r="J279" s="10" t="n"/>
      <c r="K279" s="45" t="n"/>
      <c r="L279" s="9">
        <f>IF($B279="","",IF(AND($G279&lt;&gt;"Vacant",$M279="",OR($K279&lt;&gt;"",$G279="Occupied")),"Yes","No"))</f>
        <v/>
      </c>
      <c r="M279" s="45" t="n"/>
      <c r="N279" s="24">
        <f>IF($B279="","",IF($G279="Vacant","Vacant",IF(L279="Yes","MTM",IF(M279="","",M279))))</f>
        <v/>
      </c>
      <c r="O279" s="9" t="n"/>
    </row>
    <row r="280">
      <c r="A280" s="1" t="n"/>
      <c r="B280" s="9" t="n"/>
      <c r="C280" s="9" t="n"/>
      <c r="D280" s="14" t="n"/>
      <c r="E280" s="56" t="n"/>
      <c r="F280" s="19" t="n"/>
      <c r="G280" s="9" t="n"/>
      <c r="H280" s="10" t="n"/>
      <c r="I280" s="80">
        <f>IF($F280&gt;0,$H280/$F280,"")</f>
        <v/>
      </c>
      <c r="J280" s="10" t="n"/>
      <c r="K280" s="45" t="n"/>
      <c r="L280" s="9">
        <f>IF($B280="","",IF(AND($G280&lt;&gt;"Vacant",$M280="",OR($K280&lt;&gt;"",$G280="Occupied")),"Yes","No"))</f>
        <v/>
      </c>
      <c r="M280" s="45" t="n"/>
      <c r="N280" s="24">
        <f>IF($B280="","",IF($G280="Vacant","Vacant",IF(L280="Yes","MTM",IF(M280="","",M280))))</f>
        <v/>
      </c>
      <c r="O280" s="9" t="n"/>
    </row>
    <row r="281">
      <c r="A281" s="1" t="n"/>
      <c r="B281" s="9" t="n"/>
      <c r="C281" s="9" t="n"/>
      <c r="D281" s="14" t="n"/>
      <c r="E281" s="56" t="n"/>
      <c r="F281" s="19" t="n"/>
      <c r="G281" s="9" t="n"/>
      <c r="H281" s="10" t="n"/>
      <c r="I281" s="80">
        <f>IF($F281&gt;0,$H281/$F281,"")</f>
        <v/>
      </c>
      <c r="J281" s="10" t="n"/>
      <c r="K281" s="45" t="n"/>
      <c r="L281" s="9">
        <f>IF($B281="","",IF(AND($G281&lt;&gt;"Vacant",$M281="",OR($K281&lt;&gt;"",$G281="Occupied")),"Yes","No"))</f>
        <v/>
      </c>
      <c r="M281" s="45" t="n"/>
      <c r="N281" s="24">
        <f>IF($B281="","",IF($G281="Vacant","Vacant",IF(L281="Yes","MTM",IF(M281="","",M281))))</f>
        <v/>
      </c>
      <c r="O281" s="9" t="n"/>
    </row>
    <row r="282">
      <c r="A282" s="1" t="n"/>
      <c r="B282" s="9" t="n"/>
      <c r="C282" s="9" t="n"/>
      <c r="D282" s="14" t="n"/>
      <c r="E282" s="56" t="n"/>
      <c r="F282" s="19" t="n"/>
      <c r="G282" s="9" t="n"/>
      <c r="H282" s="10" t="n"/>
      <c r="I282" s="80">
        <f>IF($F282&gt;0,$H282/$F282,"")</f>
        <v/>
      </c>
      <c r="J282" s="10" t="n"/>
      <c r="K282" s="45" t="n"/>
      <c r="L282" s="9">
        <f>IF($B282="","",IF(AND($G282&lt;&gt;"Vacant",$M282="",OR($K282&lt;&gt;"",$G282="Occupied")),"Yes","No"))</f>
        <v/>
      </c>
      <c r="M282" s="45" t="n"/>
      <c r="N282" s="24">
        <f>IF($B282="","",IF($G282="Vacant","Vacant",IF(L282="Yes","MTM",IF(M282="","",M282))))</f>
        <v/>
      </c>
      <c r="O282" s="9" t="n"/>
    </row>
    <row r="283">
      <c r="A283" s="1" t="n"/>
      <c r="B283" s="9" t="n"/>
      <c r="C283" s="9" t="n"/>
      <c r="D283" s="14" t="n"/>
      <c r="E283" s="56" t="n"/>
      <c r="F283" s="19" t="n"/>
      <c r="G283" s="9" t="n"/>
      <c r="H283" s="10" t="n"/>
      <c r="I283" s="80">
        <f>IF($F283&gt;0,$H283/$F283,"")</f>
        <v/>
      </c>
      <c r="J283" s="10" t="n"/>
      <c r="K283" s="45" t="n"/>
      <c r="L283" s="9">
        <f>IF($B283="","",IF(AND($G283&lt;&gt;"Vacant",$M283="",OR($K283&lt;&gt;"",$G283="Occupied")),"Yes","No"))</f>
        <v/>
      </c>
      <c r="M283" s="45" t="n"/>
      <c r="N283" s="24">
        <f>IF($B283="","",IF($G283="Vacant","Vacant",IF(L283="Yes","MTM",IF(M283="","",M283))))</f>
        <v/>
      </c>
      <c r="O283" s="9" t="n"/>
    </row>
    <row r="284">
      <c r="A284" s="1" t="n"/>
      <c r="B284" s="9" t="n"/>
      <c r="C284" s="9" t="n"/>
      <c r="D284" s="14" t="n"/>
      <c r="E284" s="56" t="n"/>
      <c r="F284" s="19" t="n"/>
      <c r="G284" s="9" t="n"/>
      <c r="H284" s="10" t="n"/>
      <c r="I284" s="80">
        <f>IF($F284&gt;0,$H284/$F284,"")</f>
        <v/>
      </c>
      <c r="J284" s="10" t="n"/>
      <c r="K284" s="45" t="n"/>
      <c r="L284" s="9">
        <f>IF($B284="","",IF(AND($G284&lt;&gt;"Vacant",$M284="",OR($K284&lt;&gt;"",$G284="Occupied")),"Yes","No"))</f>
        <v/>
      </c>
      <c r="M284" s="45" t="n"/>
      <c r="N284" s="24">
        <f>IF($B284="","",IF($G284="Vacant","Vacant",IF(L284="Yes","MTM",IF(M284="","",M284))))</f>
        <v/>
      </c>
      <c r="O284" s="9" t="n"/>
    </row>
    <row r="285">
      <c r="A285" s="1" t="n"/>
      <c r="B285" s="9" t="n"/>
      <c r="C285" s="9" t="n"/>
      <c r="D285" s="14" t="n"/>
      <c r="E285" s="56" t="n"/>
      <c r="F285" s="19" t="n"/>
      <c r="G285" s="9" t="n"/>
      <c r="H285" s="10" t="n"/>
      <c r="I285" s="80">
        <f>IF($F285&gt;0,$H285/$F285,"")</f>
        <v/>
      </c>
      <c r="J285" s="10" t="n"/>
      <c r="K285" s="45" t="n"/>
      <c r="L285" s="9">
        <f>IF($B285="","",IF(AND($G285&lt;&gt;"Vacant",$M285="",OR($K285&lt;&gt;"",$G285="Occupied")),"Yes","No"))</f>
        <v/>
      </c>
      <c r="M285" s="45" t="n"/>
      <c r="N285" s="24">
        <f>IF($B285="","",IF($G285="Vacant","Vacant",IF(L285="Yes","MTM",IF(M285="","",M285))))</f>
        <v/>
      </c>
      <c r="O285" s="9" t="n"/>
    </row>
    <row r="286">
      <c r="A286" s="1" t="n"/>
      <c r="B286" s="9" t="n"/>
      <c r="C286" s="9" t="n"/>
      <c r="D286" s="14" t="n"/>
      <c r="E286" s="56" t="n"/>
      <c r="F286" s="19" t="n"/>
      <c r="G286" s="9" t="n"/>
      <c r="H286" s="10" t="n"/>
      <c r="I286" s="80">
        <f>IF($F286&gt;0,$H286/$F286,"")</f>
        <v/>
      </c>
      <c r="J286" s="10" t="n"/>
      <c r="K286" s="45" t="n"/>
      <c r="L286" s="9">
        <f>IF($B286="","",IF(AND($G286&lt;&gt;"Vacant",$M286="",OR($K286&lt;&gt;"",$G286="Occupied")),"Yes","No"))</f>
        <v/>
      </c>
      <c r="M286" s="45" t="n"/>
      <c r="N286" s="24">
        <f>IF($B286="","",IF($G286="Vacant","Vacant",IF(L286="Yes","MTM",IF(M286="","",M286))))</f>
        <v/>
      </c>
      <c r="O286" s="9" t="n"/>
    </row>
    <row r="287">
      <c r="A287" s="1" t="n"/>
      <c r="B287" s="9" t="n"/>
      <c r="C287" s="9" t="n"/>
      <c r="D287" s="14" t="n"/>
      <c r="E287" s="56" t="n"/>
      <c r="F287" s="19" t="n"/>
      <c r="G287" s="9" t="n"/>
      <c r="H287" s="10" t="n"/>
      <c r="I287" s="80">
        <f>IF($F287&gt;0,$H287/$F287,"")</f>
        <v/>
      </c>
      <c r="J287" s="10" t="n"/>
      <c r="K287" s="45" t="n"/>
      <c r="L287" s="9">
        <f>IF($B287="","",IF(AND($G287&lt;&gt;"Vacant",$M287="",OR($K287&lt;&gt;"",$G287="Occupied")),"Yes","No"))</f>
        <v/>
      </c>
      <c r="M287" s="45" t="n"/>
      <c r="N287" s="24">
        <f>IF($B287="","",IF($G287="Vacant","Vacant",IF(L287="Yes","MTM",IF(M287="","",M287))))</f>
        <v/>
      </c>
      <c r="O287" s="9" t="n"/>
    </row>
    <row r="288">
      <c r="A288" s="1" t="n"/>
      <c r="B288" s="9" t="n"/>
      <c r="C288" s="9" t="n"/>
      <c r="D288" s="14" t="n"/>
      <c r="E288" s="56" t="n"/>
      <c r="F288" s="19" t="n"/>
      <c r="G288" s="9" t="n"/>
      <c r="H288" s="10" t="n"/>
      <c r="I288" s="80">
        <f>IF($F288&gt;0,$H288/$F288,"")</f>
        <v/>
      </c>
      <c r="J288" s="10" t="n"/>
      <c r="K288" s="45" t="n"/>
      <c r="L288" s="9">
        <f>IF($B288="","",IF(AND($G288&lt;&gt;"Vacant",$M288="",OR($K288&lt;&gt;"",$G288="Occupied")),"Yes","No"))</f>
        <v/>
      </c>
      <c r="M288" s="45" t="n"/>
      <c r="N288" s="24">
        <f>IF($B288="","",IF($G288="Vacant","Vacant",IF(L288="Yes","MTM",IF(M288="","",M288))))</f>
        <v/>
      </c>
      <c r="O288" s="9" t="n"/>
    </row>
    <row r="289">
      <c r="A289" s="1" t="n"/>
      <c r="B289" s="9" t="n"/>
      <c r="C289" s="9" t="n"/>
      <c r="D289" s="14" t="n"/>
      <c r="E289" s="56" t="n"/>
      <c r="F289" s="19" t="n"/>
      <c r="G289" s="9" t="n"/>
      <c r="H289" s="10" t="n"/>
      <c r="I289" s="80">
        <f>IF($F289&gt;0,$H289/$F289,"")</f>
        <v/>
      </c>
      <c r="J289" s="10" t="n"/>
      <c r="K289" s="45" t="n"/>
      <c r="L289" s="9">
        <f>IF($B289="","",IF(AND($G289&lt;&gt;"Vacant",$M289="",OR($K289&lt;&gt;"",$G289="Occupied")),"Yes","No"))</f>
        <v/>
      </c>
      <c r="M289" s="45" t="n"/>
      <c r="N289" s="24">
        <f>IF($B289="","",IF($G289="Vacant","Vacant",IF(L289="Yes","MTM",IF(M289="","",M289))))</f>
        <v/>
      </c>
      <c r="O289" s="9" t="n"/>
    </row>
    <row r="290">
      <c r="A290" s="1" t="n"/>
      <c r="B290" s="9" t="n"/>
      <c r="C290" s="9" t="n"/>
      <c r="D290" s="14" t="n"/>
      <c r="E290" s="56" t="n"/>
      <c r="F290" s="19" t="n"/>
      <c r="G290" s="9" t="n"/>
      <c r="H290" s="10" t="n"/>
      <c r="I290" s="80">
        <f>IF($F290&gt;0,$H290/$F290,"")</f>
        <v/>
      </c>
      <c r="J290" s="10" t="n"/>
      <c r="K290" s="45" t="n"/>
      <c r="L290" s="9">
        <f>IF($B290="","",IF(AND($G290&lt;&gt;"Vacant",$M290="",OR($K290&lt;&gt;"",$G290="Occupied")),"Yes","No"))</f>
        <v/>
      </c>
      <c r="M290" s="45" t="n"/>
      <c r="N290" s="24">
        <f>IF($B290="","",IF($G290="Vacant","Vacant",IF(L290="Yes","MTM",IF(M290="","",M290))))</f>
        <v/>
      </c>
      <c r="O290" s="9" t="n"/>
    </row>
    <row r="291">
      <c r="A291" s="1" t="n"/>
      <c r="B291" s="9" t="n"/>
      <c r="C291" s="9" t="n"/>
      <c r="D291" s="14" t="n"/>
      <c r="E291" s="56" t="n"/>
      <c r="F291" s="19" t="n"/>
      <c r="G291" s="9" t="n"/>
      <c r="H291" s="10" t="n"/>
      <c r="I291" s="80">
        <f>IF($F291&gt;0,$H291/$F291,"")</f>
        <v/>
      </c>
      <c r="J291" s="10" t="n"/>
      <c r="K291" s="45" t="n"/>
      <c r="L291" s="9">
        <f>IF($B291="","",IF(AND($G291&lt;&gt;"Vacant",$M291="",OR($K291&lt;&gt;"",$G291="Occupied")),"Yes","No"))</f>
        <v/>
      </c>
      <c r="M291" s="45" t="n"/>
      <c r="N291" s="24">
        <f>IF($B291="","",IF($G291="Vacant","Vacant",IF(L291="Yes","MTM",IF(M291="","",M291))))</f>
        <v/>
      </c>
      <c r="O291" s="9" t="n"/>
    </row>
    <row r="292">
      <c r="A292" s="1" t="n"/>
      <c r="B292" s="9" t="n"/>
      <c r="C292" s="9" t="n"/>
      <c r="D292" s="14" t="n"/>
      <c r="E292" s="56" t="n"/>
      <c r="F292" s="19" t="n"/>
      <c r="G292" s="9" t="n"/>
      <c r="H292" s="10" t="n"/>
      <c r="I292" s="80">
        <f>IF($F292&gt;0,$H292/$F292,"")</f>
        <v/>
      </c>
      <c r="J292" s="10" t="n"/>
      <c r="K292" s="45" t="n"/>
      <c r="L292" s="9">
        <f>IF($B292="","",IF(AND($G292&lt;&gt;"Vacant",$M292="",OR($K292&lt;&gt;"",$G292="Occupied")),"Yes","No"))</f>
        <v/>
      </c>
      <c r="M292" s="45" t="n"/>
      <c r="N292" s="24">
        <f>IF($B292="","",IF($G292="Vacant","Vacant",IF(L292="Yes","MTM",IF(M292="","",M292))))</f>
        <v/>
      </c>
      <c r="O292" s="9" t="n"/>
    </row>
    <row r="293">
      <c r="A293" s="1" t="n"/>
      <c r="B293" s="9" t="n"/>
      <c r="C293" s="9" t="n"/>
      <c r="D293" s="14" t="n"/>
      <c r="E293" s="56" t="n"/>
      <c r="F293" s="19" t="n"/>
      <c r="G293" s="9" t="n"/>
      <c r="H293" s="10" t="n"/>
      <c r="I293" s="80">
        <f>IF($F293&gt;0,$H293/$F293,"")</f>
        <v/>
      </c>
      <c r="J293" s="10" t="n"/>
      <c r="K293" s="45" t="n"/>
      <c r="L293" s="9">
        <f>IF($B293="","",IF(AND($G293&lt;&gt;"Vacant",$M293="",OR($K293&lt;&gt;"",$G293="Occupied")),"Yes","No"))</f>
        <v/>
      </c>
      <c r="M293" s="45" t="n"/>
      <c r="N293" s="24">
        <f>IF($B293="","",IF($G293="Vacant","Vacant",IF(L293="Yes","MTM",IF(M293="","",M293))))</f>
        <v/>
      </c>
      <c r="O293" s="9" t="n"/>
    </row>
    <row r="294">
      <c r="A294" s="1" t="n"/>
      <c r="B294" s="9" t="n"/>
      <c r="C294" s="9" t="n"/>
      <c r="D294" s="14" t="n"/>
      <c r="E294" s="56" t="n"/>
      <c r="F294" s="19" t="n"/>
      <c r="G294" s="9" t="n"/>
      <c r="H294" s="10" t="n"/>
      <c r="I294" s="80">
        <f>IF($F294&gt;0,$H294/$F294,"")</f>
        <v/>
      </c>
      <c r="J294" s="10" t="n"/>
      <c r="K294" s="45" t="n"/>
      <c r="L294" s="9">
        <f>IF($B294="","",IF(AND($G294&lt;&gt;"Vacant",$M294="",OR($K294&lt;&gt;"",$G294="Occupied")),"Yes","No"))</f>
        <v/>
      </c>
      <c r="M294" s="45" t="n"/>
      <c r="N294" s="24">
        <f>IF($B294="","",IF($G294="Vacant","Vacant",IF(L294="Yes","MTM",IF(M294="","",M294))))</f>
        <v/>
      </c>
      <c r="O294" s="9" t="n"/>
    </row>
    <row r="295">
      <c r="A295" s="1" t="n"/>
      <c r="B295" s="9" t="n"/>
      <c r="C295" s="9" t="n"/>
      <c r="D295" s="14" t="n"/>
      <c r="E295" s="56" t="n"/>
      <c r="F295" s="19" t="n"/>
      <c r="G295" s="9" t="n"/>
      <c r="H295" s="10" t="n"/>
      <c r="I295" s="80">
        <f>IF($F295&gt;0,$H295/$F295,"")</f>
        <v/>
      </c>
      <c r="J295" s="10" t="n"/>
      <c r="K295" s="45" t="n"/>
      <c r="L295" s="9">
        <f>IF($B295="","",IF(AND($G295&lt;&gt;"Vacant",$M295="",OR($K295&lt;&gt;"",$G295="Occupied")),"Yes","No"))</f>
        <v/>
      </c>
      <c r="M295" s="45" t="n"/>
      <c r="N295" s="24">
        <f>IF($B295="","",IF($G295="Vacant","Vacant",IF(L295="Yes","MTM",IF(M295="","",M295))))</f>
        <v/>
      </c>
      <c r="O295" s="9" t="n"/>
    </row>
    <row r="296">
      <c r="A296" s="1" t="n"/>
      <c r="B296" s="9" t="n"/>
      <c r="C296" s="9" t="n"/>
      <c r="D296" s="14" t="n"/>
      <c r="E296" s="56" t="n"/>
      <c r="F296" s="19" t="n"/>
      <c r="G296" s="9" t="n"/>
      <c r="H296" s="10" t="n"/>
      <c r="I296" s="80">
        <f>IF($F296&gt;0,$H296/$F296,"")</f>
        <v/>
      </c>
      <c r="J296" s="10" t="n"/>
      <c r="K296" s="45" t="n"/>
      <c r="L296" s="9">
        <f>IF($B296="","",IF(AND($G296&lt;&gt;"Vacant",$M296="",OR($K296&lt;&gt;"",$G296="Occupied")),"Yes","No"))</f>
        <v/>
      </c>
      <c r="M296" s="45" t="n"/>
      <c r="N296" s="24">
        <f>IF($B296="","",IF($G296="Vacant","Vacant",IF(L296="Yes","MTM",IF(M296="","",M296))))</f>
        <v/>
      </c>
      <c r="O296" s="9" t="n"/>
    </row>
    <row r="297">
      <c r="A297" s="1" t="n"/>
      <c r="B297" s="9" t="n"/>
      <c r="C297" s="9" t="n"/>
      <c r="D297" s="14" t="n"/>
      <c r="E297" s="56" t="n"/>
      <c r="F297" s="19" t="n"/>
      <c r="G297" s="9" t="n"/>
      <c r="H297" s="10" t="n"/>
      <c r="I297" s="80">
        <f>IF($F297&gt;0,$H297/$F297,"")</f>
        <v/>
      </c>
      <c r="J297" s="10" t="n"/>
      <c r="K297" s="45" t="n"/>
      <c r="L297" s="9">
        <f>IF($B297="","",IF(AND($G297&lt;&gt;"Vacant",$M297="",OR($K297&lt;&gt;"",$G297="Occupied")),"Yes","No"))</f>
        <v/>
      </c>
      <c r="M297" s="45" t="n"/>
      <c r="N297" s="24">
        <f>IF($B297="","",IF($G297="Vacant","Vacant",IF(L297="Yes","MTM",IF(M297="","",M297))))</f>
        <v/>
      </c>
      <c r="O297" s="9" t="n"/>
    </row>
    <row r="298">
      <c r="A298" s="1" t="n"/>
      <c r="B298" s="9" t="n"/>
      <c r="C298" s="9" t="n"/>
      <c r="D298" s="14" t="n"/>
      <c r="E298" s="56" t="n"/>
      <c r="F298" s="19" t="n"/>
      <c r="G298" s="9" t="n"/>
      <c r="H298" s="10" t="n"/>
      <c r="I298" s="80">
        <f>IF($F298&gt;0,$H298/$F298,"")</f>
        <v/>
      </c>
      <c r="J298" s="10" t="n"/>
      <c r="K298" s="45" t="n"/>
      <c r="L298" s="9">
        <f>IF($B298="","",IF(AND($G298&lt;&gt;"Vacant",$M298="",OR($K298&lt;&gt;"",$G298="Occupied")),"Yes","No"))</f>
        <v/>
      </c>
      <c r="M298" s="45" t="n"/>
      <c r="N298" s="24">
        <f>IF($B298="","",IF($G298="Vacant","Vacant",IF(L298="Yes","MTM",IF(M298="","",M298))))</f>
        <v/>
      </c>
      <c r="O298" s="9" t="n"/>
    </row>
    <row r="299">
      <c r="A299" s="1" t="n"/>
      <c r="B299" s="9" t="n"/>
      <c r="C299" s="9" t="n"/>
      <c r="D299" s="14" t="n"/>
      <c r="E299" s="56" t="n"/>
      <c r="F299" s="19" t="n"/>
      <c r="G299" s="9" t="n"/>
      <c r="H299" s="10" t="n"/>
      <c r="I299" s="80">
        <f>IF($F299&gt;0,$H299/$F299,"")</f>
        <v/>
      </c>
      <c r="J299" s="10" t="n"/>
      <c r="K299" s="45" t="n"/>
      <c r="L299" s="9">
        <f>IF($B299="","",IF(AND($G299&lt;&gt;"Vacant",$M299="",OR($K299&lt;&gt;"",$G299="Occupied")),"Yes","No"))</f>
        <v/>
      </c>
      <c r="M299" s="45" t="n"/>
      <c r="N299" s="24">
        <f>IF($B299="","",IF($G299="Vacant","Vacant",IF(L299="Yes","MTM",IF(M299="","",M299))))</f>
        <v/>
      </c>
      <c r="O299" s="9" t="n"/>
    </row>
    <row r="300">
      <c r="A300" s="1" t="n"/>
      <c r="B300" s="9" t="n"/>
      <c r="C300" s="9" t="n"/>
      <c r="D300" s="14" t="n"/>
      <c r="E300" s="56" t="n"/>
      <c r="F300" s="19" t="n"/>
      <c r="G300" s="9" t="n"/>
      <c r="H300" s="10" t="n"/>
      <c r="I300" s="80">
        <f>IF($F300&gt;0,$H300/$F300,"")</f>
        <v/>
      </c>
      <c r="J300" s="10" t="n"/>
      <c r="K300" s="45" t="n"/>
      <c r="L300" s="9">
        <f>IF($B300="","",IF(AND($G300&lt;&gt;"Vacant",$M300="",OR($K300&lt;&gt;"",$G300="Occupied")),"Yes","No"))</f>
        <v/>
      </c>
      <c r="M300" s="45" t="n"/>
      <c r="N300" s="24">
        <f>IF($B300="","",IF($G300="Vacant","Vacant",IF(L300="Yes","MTM",IF(M300="","",M300))))</f>
        <v/>
      </c>
      <c r="O300" s="9" t="n"/>
    </row>
    <row r="301">
      <c r="A301" s="1" t="n"/>
      <c r="B301" s="9" t="n"/>
      <c r="C301" s="9" t="n"/>
      <c r="D301" s="14" t="n"/>
      <c r="E301" s="56" t="n"/>
      <c r="F301" s="19" t="n"/>
      <c r="G301" s="9" t="n"/>
      <c r="H301" s="10" t="n"/>
      <c r="I301" s="80">
        <f>IF($F301&gt;0,$H301/$F301,"")</f>
        <v/>
      </c>
      <c r="J301" s="10" t="n"/>
      <c r="K301" s="45" t="n"/>
      <c r="L301" s="9">
        <f>IF($B301="","",IF(AND($G301&lt;&gt;"Vacant",$M301="",OR($K301&lt;&gt;"",$G301="Occupied")),"Yes","No"))</f>
        <v/>
      </c>
      <c r="M301" s="45" t="n"/>
      <c r="N301" s="24">
        <f>IF($B301="","",IF($G301="Vacant","Vacant",IF(L301="Yes","MTM",IF(M301="","",M301))))</f>
        <v/>
      </c>
      <c r="O301" s="9" t="n"/>
    </row>
    <row r="302">
      <c r="A302" s="1" t="n"/>
      <c r="B302" s="9" t="n"/>
      <c r="C302" s="9" t="n"/>
      <c r="D302" s="14" t="n"/>
      <c r="E302" s="56" t="n"/>
      <c r="F302" s="19" t="n"/>
      <c r="G302" s="9" t="n"/>
      <c r="H302" s="10" t="n"/>
      <c r="I302" s="80">
        <f>IF($F302&gt;0,$H302/$F302,"")</f>
        <v/>
      </c>
      <c r="J302" s="10" t="n"/>
      <c r="K302" s="45" t="n"/>
      <c r="L302" s="9">
        <f>IF($B302="","",IF(AND($G302&lt;&gt;"Vacant",$M302="",OR($K302&lt;&gt;"",$G302="Occupied")),"Yes","No"))</f>
        <v/>
      </c>
      <c r="M302" s="45" t="n"/>
      <c r="N302" s="24">
        <f>IF($B302="","",IF($G302="Vacant","Vacant",IF(L302="Yes","MTM",IF(M302="","",M302))))</f>
        <v/>
      </c>
      <c r="O302" s="9" t="n"/>
    </row>
    <row r="303">
      <c r="A303" s="1" t="n"/>
      <c r="B303" s="9" t="n"/>
      <c r="C303" s="9" t="n"/>
      <c r="D303" s="14" t="n"/>
      <c r="E303" s="56" t="n"/>
      <c r="F303" s="19" t="n"/>
      <c r="G303" s="9" t="n"/>
      <c r="H303" s="10" t="n"/>
      <c r="I303" s="80">
        <f>IF($F303&gt;0,$H303/$F303,"")</f>
        <v/>
      </c>
      <c r="J303" s="10" t="n"/>
      <c r="K303" s="45" t="n"/>
      <c r="L303" s="9">
        <f>IF($B303="","",IF(AND($G303&lt;&gt;"Vacant",$M303="",OR($K303&lt;&gt;"",$G303="Occupied")),"Yes","No"))</f>
        <v/>
      </c>
      <c r="M303" s="45" t="n"/>
      <c r="N303" s="24">
        <f>IF($B303="","",IF($G303="Vacant","Vacant",IF(L303="Yes","MTM",IF(M303="","",M303))))</f>
        <v/>
      </c>
      <c r="O303" s="9" t="n"/>
    </row>
    <row r="304">
      <c r="A304" s="1" t="n"/>
      <c r="B304" s="9" t="n"/>
      <c r="C304" s="9" t="n"/>
      <c r="D304" s="14" t="n"/>
      <c r="E304" s="56" t="n"/>
      <c r="F304" s="19" t="n"/>
      <c r="G304" s="9" t="n"/>
      <c r="H304" s="10" t="n"/>
      <c r="I304" s="80">
        <f>IF($F304&gt;0,$H304/$F304,"")</f>
        <v/>
      </c>
      <c r="J304" s="10" t="n"/>
      <c r="K304" s="45" t="n"/>
      <c r="L304" s="9">
        <f>IF($B304="","",IF(AND($G304&lt;&gt;"Vacant",$M304="",OR($K304&lt;&gt;"",$G304="Occupied")),"Yes","No"))</f>
        <v/>
      </c>
      <c r="M304" s="45" t="n"/>
      <c r="N304" s="24">
        <f>IF($B304="","",IF($G304="Vacant","Vacant",IF(L304="Yes","MTM",IF(M304="","",M304))))</f>
        <v/>
      </c>
      <c r="O304" s="9" t="n"/>
    </row>
    <row r="305">
      <c r="A305" s="1" t="n"/>
      <c r="B305" s="9" t="n"/>
      <c r="C305" s="9" t="n"/>
      <c r="D305" s="14" t="n"/>
      <c r="E305" s="56" t="n"/>
      <c r="F305" s="19" t="n"/>
      <c r="G305" s="9" t="n"/>
      <c r="H305" s="10" t="n"/>
      <c r="I305" s="80">
        <f>IF($F305&gt;0,$H305/$F305,"")</f>
        <v/>
      </c>
      <c r="J305" s="10" t="n"/>
      <c r="K305" s="45" t="n"/>
      <c r="L305" s="9">
        <f>IF($B305="","",IF(AND($G305&lt;&gt;"Vacant",$M305="",OR($K305&lt;&gt;"",$G305="Occupied")),"Yes","No"))</f>
        <v/>
      </c>
      <c r="M305" s="45" t="n"/>
      <c r="N305" s="24">
        <f>IF($B305="","",IF($G305="Vacant","Vacant",IF(L305="Yes","MTM",IF(M305="","",M305))))</f>
        <v/>
      </c>
      <c r="O305" s="9" t="n"/>
    </row>
    <row r="306">
      <c r="A306" s="1" t="n"/>
      <c r="B306" s="9" t="n"/>
      <c r="C306" s="9" t="n"/>
      <c r="D306" s="14" t="n"/>
      <c r="E306" s="56" t="n"/>
      <c r="F306" s="19" t="n"/>
      <c r="G306" s="9" t="n"/>
      <c r="H306" s="10" t="n"/>
      <c r="I306" s="80">
        <f>IF($F306&gt;0,$H306/$F306,"")</f>
        <v/>
      </c>
      <c r="J306" s="10" t="n"/>
      <c r="K306" s="45" t="n"/>
      <c r="L306" s="9">
        <f>IF($B306="","",IF(AND($G306&lt;&gt;"Vacant",$M306="",OR($K306&lt;&gt;"",$G306="Occupied")),"Yes","No"))</f>
        <v/>
      </c>
      <c r="M306" s="45" t="n"/>
      <c r="N306" s="24">
        <f>IF($B306="","",IF($G306="Vacant","Vacant",IF(L306="Yes","MTM",IF(M306="","",M306))))</f>
        <v/>
      </c>
      <c r="O306" s="9" t="n"/>
    </row>
    <row r="307">
      <c r="A307" s="1" t="n"/>
      <c r="B307" s="9" t="n"/>
      <c r="C307" s="9" t="n"/>
      <c r="D307" s="14" t="n"/>
      <c r="E307" s="56" t="n"/>
      <c r="F307" s="19" t="n"/>
      <c r="G307" s="9" t="n"/>
      <c r="H307" s="10" t="n"/>
      <c r="I307" s="80">
        <f>IF($F307&gt;0,$H307/$F307,"")</f>
        <v/>
      </c>
      <c r="J307" s="10" t="n"/>
      <c r="K307" s="45" t="n"/>
      <c r="L307" s="9">
        <f>IF($B307="","",IF(AND($G307&lt;&gt;"Vacant",$M307="",OR($K307&lt;&gt;"",$G307="Occupied")),"Yes","No"))</f>
        <v/>
      </c>
      <c r="M307" s="45" t="n"/>
      <c r="N307" s="24">
        <f>IF($B307="","",IF($G307="Vacant","Vacant",IF(L307="Yes","MTM",IF(M307="","",M307))))</f>
        <v/>
      </c>
      <c r="O307" s="9" t="n"/>
    </row>
    <row r="308">
      <c r="A308" s="1" t="n"/>
      <c r="B308" s="9" t="n"/>
      <c r="C308" s="9" t="n"/>
      <c r="D308" s="14" t="n"/>
      <c r="E308" s="56" t="n"/>
      <c r="F308" s="19" t="n"/>
      <c r="G308" s="9" t="n"/>
      <c r="H308" s="10" t="n"/>
      <c r="I308" s="80">
        <f>IF($F308&gt;0,$H308/$F308,"")</f>
        <v/>
      </c>
      <c r="J308" s="10" t="n"/>
      <c r="K308" s="45" t="n"/>
      <c r="L308" s="9">
        <f>IF($B308="","",IF(AND($G308&lt;&gt;"Vacant",$M308="",OR($K308&lt;&gt;"",$G308="Occupied")),"Yes","No"))</f>
        <v/>
      </c>
      <c r="M308" s="45" t="n"/>
      <c r="N308" s="24">
        <f>IF($B308="","",IF($G308="Vacant","Vacant",IF(L308="Yes","MTM",IF(M308="","",M308))))</f>
        <v/>
      </c>
      <c r="O308" s="9" t="n"/>
    </row>
    <row r="309">
      <c r="A309" s="1" t="n"/>
      <c r="B309" s="9" t="n"/>
      <c r="C309" s="9" t="n"/>
      <c r="D309" s="14" t="n"/>
      <c r="E309" s="56" t="n"/>
      <c r="F309" s="19" t="n"/>
      <c r="G309" s="9" t="n"/>
      <c r="H309" s="10" t="n"/>
      <c r="I309" s="80">
        <f>IF($F309&gt;0,$H309/$F309,"")</f>
        <v/>
      </c>
      <c r="J309" s="10" t="n"/>
      <c r="K309" s="45" t="n"/>
      <c r="L309" s="9">
        <f>IF($B309="","",IF(AND($G309&lt;&gt;"Vacant",$M309="",OR($K309&lt;&gt;"",$G309="Occupied")),"Yes","No"))</f>
        <v/>
      </c>
      <c r="M309" s="45" t="n"/>
      <c r="N309" s="24">
        <f>IF($B309="","",IF($G309="Vacant","Vacant",IF(L309="Yes","MTM",IF(M309="","",M309))))</f>
        <v/>
      </c>
      <c r="O309" s="9" t="n"/>
    </row>
    <row r="310">
      <c r="A310" s="1" t="n"/>
      <c r="B310" s="9" t="n"/>
      <c r="C310" s="9" t="n"/>
      <c r="D310" s="14" t="n"/>
      <c r="E310" s="56" t="n"/>
      <c r="F310" s="19" t="n"/>
      <c r="G310" s="9" t="n"/>
      <c r="H310" s="10" t="n"/>
      <c r="I310" s="80">
        <f>IF($F310&gt;0,$H310/$F310,"")</f>
        <v/>
      </c>
      <c r="J310" s="10" t="n"/>
      <c r="K310" s="45" t="n"/>
      <c r="L310" s="9">
        <f>IF($B310="","",IF(AND($G310&lt;&gt;"Vacant",$M310="",OR($K310&lt;&gt;"",$G310="Occupied")),"Yes","No"))</f>
        <v/>
      </c>
      <c r="M310" s="45" t="n"/>
      <c r="N310" s="24">
        <f>IF($B310="","",IF($G310="Vacant","Vacant",IF(L310="Yes","MTM",IF(M310="","",M310))))</f>
        <v/>
      </c>
      <c r="O310" s="9" t="n"/>
    </row>
    <row r="311">
      <c r="A311" s="1" t="n"/>
      <c r="B311" s="9" t="n"/>
      <c r="C311" s="9" t="n"/>
      <c r="D311" s="14" t="n"/>
      <c r="E311" s="56" t="n"/>
      <c r="F311" s="19" t="n"/>
      <c r="G311" s="9" t="n"/>
      <c r="H311" s="10" t="n"/>
      <c r="I311" s="80">
        <f>IF($F311&gt;0,$H311/$F311,"")</f>
        <v/>
      </c>
      <c r="J311" s="10" t="n"/>
      <c r="K311" s="45" t="n"/>
      <c r="L311" s="9">
        <f>IF($B311="","",IF(AND($G311&lt;&gt;"Vacant",$M311="",OR($K311&lt;&gt;"",$G311="Occupied")),"Yes","No"))</f>
        <v/>
      </c>
      <c r="M311" s="45" t="n"/>
      <c r="N311" s="24">
        <f>IF($B311="","",IF($G311="Vacant","Vacant",IF(L311="Yes","MTM",IF(M311="","",M311))))</f>
        <v/>
      </c>
      <c r="O311" s="9" t="n"/>
    </row>
    <row r="312">
      <c r="A312" s="1" t="n"/>
      <c r="B312" s="9" t="n"/>
      <c r="C312" s="9" t="n"/>
      <c r="D312" s="14" t="n"/>
      <c r="E312" s="56" t="n"/>
      <c r="F312" s="19" t="n"/>
      <c r="G312" s="9" t="n"/>
      <c r="H312" s="10" t="n"/>
      <c r="I312" s="80">
        <f>IF($F312&gt;0,$H312/$F312,"")</f>
        <v/>
      </c>
      <c r="J312" s="10" t="n"/>
      <c r="K312" s="45" t="n"/>
      <c r="L312" s="9">
        <f>IF($B312="","",IF(AND($G312&lt;&gt;"Vacant",$M312="",OR($K312&lt;&gt;"",$G312="Occupied")),"Yes","No"))</f>
        <v/>
      </c>
      <c r="M312" s="45" t="n"/>
      <c r="N312" s="24">
        <f>IF($B312="","",IF($G312="Vacant","Vacant",IF(L312="Yes","MTM",IF(M312="","",M312))))</f>
        <v/>
      </c>
      <c r="O312" s="9" t="n"/>
    </row>
    <row r="313">
      <c r="A313" s="1" t="n"/>
      <c r="B313" s="9" t="n"/>
      <c r="C313" s="9" t="n"/>
      <c r="D313" s="14" t="n"/>
      <c r="E313" s="56" t="n"/>
      <c r="F313" s="19" t="n"/>
      <c r="G313" s="9" t="n"/>
      <c r="H313" s="10" t="n"/>
      <c r="I313" s="80">
        <f>IF($F313&gt;0,$H313/$F313,"")</f>
        <v/>
      </c>
      <c r="J313" s="10" t="n"/>
      <c r="K313" s="45" t="n"/>
      <c r="L313" s="9">
        <f>IF($B313="","",IF(AND($G313&lt;&gt;"Vacant",$M313="",OR($K313&lt;&gt;"",$G313="Occupied")),"Yes","No"))</f>
        <v/>
      </c>
      <c r="M313" s="45" t="n"/>
      <c r="N313" s="24">
        <f>IF($B313="","",IF($G313="Vacant","Vacant",IF(L313="Yes","MTM",IF(M313="","",M313))))</f>
        <v/>
      </c>
      <c r="O313" s="9" t="n"/>
    </row>
    <row r="314">
      <c r="A314" s="1" t="n"/>
      <c r="B314" s="9" t="n"/>
      <c r="C314" s="9" t="n"/>
      <c r="D314" s="14" t="n"/>
      <c r="E314" s="56" t="n"/>
      <c r="F314" s="19" t="n"/>
      <c r="G314" s="9" t="n"/>
      <c r="H314" s="10" t="n"/>
      <c r="I314" s="80">
        <f>IF($F314&gt;0,$H314/$F314,"")</f>
        <v/>
      </c>
      <c r="J314" s="10" t="n"/>
      <c r="K314" s="45" t="n"/>
      <c r="L314" s="9">
        <f>IF($B314="","",IF(AND($G314&lt;&gt;"Vacant",$M314="",OR($K314&lt;&gt;"",$G314="Occupied")),"Yes","No"))</f>
        <v/>
      </c>
      <c r="M314" s="45" t="n"/>
      <c r="N314" s="24">
        <f>IF($B314="","",IF($G314="Vacant","Vacant",IF(L314="Yes","MTM",IF(M314="","",M314))))</f>
        <v/>
      </c>
      <c r="O314" s="9" t="n"/>
    </row>
    <row r="315">
      <c r="A315" s="1" t="n"/>
      <c r="B315" s="9" t="n"/>
      <c r="C315" s="9" t="n"/>
      <c r="D315" s="14" t="n"/>
      <c r="E315" s="56" t="n"/>
      <c r="F315" s="19" t="n"/>
      <c r="G315" s="9" t="n"/>
      <c r="H315" s="10" t="n"/>
      <c r="I315" s="80">
        <f>IF($F315&gt;0,$H315/$F315,"")</f>
        <v/>
      </c>
      <c r="J315" s="10" t="n"/>
      <c r="K315" s="45" t="n"/>
      <c r="L315" s="9">
        <f>IF($B315="","",IF(AND($G315&lt;&gt;"Vacant",$M315="",OR($K315&lt;&gt;"",$G315="Occupied")),"Yes","No"))</f>
        <v/>
      </c>
      <c r="M315" s="45" t="n"/>
      <c r="N315" s="24">
        <f>IF($B315="","",IF($G315="Vacant","Vacant",IF(L315="Yes","MTM",IF(M315="","",M315))))</f>
        <v/>
      </c>
      <c r="O315" s="9" t="n"/>
    </row>
    <row r="316">
      <c r="A316" s="1" t="n"/>
      <c r="B316" s="9" t="n"/>
      <c r="C316" s="9" t="n"/>
      <c r="D316" s="14" t="n"/>
      <c r="E316" s="56" t="n"/>
      <c r="F316" s="19" t="n"/>
      <c r="G316" s="9" t="n"/>
      <c r="H316" s="10" t="n"/>
      <c r="I316" s="80">
        <f>IF($F316&gt;0,$H316/$F316,"")</f>
        <v/>
      </c>
      <c r="J316" s="10" t="n"/>
      <c r="K316" s="45" t="n"/>
      <c r="L316" s="9">
        <f>IF($B316="","",IF(AND($G316&lt;&gt;"Vacant",$M316="",OR($K316&lt;&gt;"",$G316="Occupied")),"Yes","No"))</f>
        <v/>
      </c>
      <c r="M316" s="45" t="n"/>
      <c r="N316" s="24">
        <f>IF($B316="","",IF($G316="Vacant","Vacant",IF(L316="Yes","MTM",IF(M316="","",M316))))</f>
        <v/>
      </c>
      <c r="O316" s="9" t="n"/>
    </row>
    <row r="317">
      <c r="A317" s="1" t="n"/>
      <c r="B317" s="9" t="n"/>
      <c r="C317" s="9" t="n"/>
      <c r="D317" s="14" t="n"/>
      <c r="E317" s="56" t="n"/>
      <c r="F317" s="19" t="n"/>
      <c r="G317" s="9" t="n"/>
      <c r="H317" s="10" t="n"/>
      <c r="I317" s="80">
        <f>IF($F317&gt;0,$H317/$F317,"")</f>
        <v/>
      </c>
      <c r="J317" s="10" t="n"/>
      <c r="K317" s="45" t="n"/>
      <c r="L317" s="9">
        <f>IF($B317="","",IF(AND($G317&lt;&gt;"Vacant",$M317="",OR($K317&lt;&gt;"",$G317="Occupied")),"Yes","No"))</f>
        <v/>
      </c>
      <c r="M317" s="45" t="n"/>
      <c r="N317" s="24">
        <f>IF($B317="","",IF($G317="Vacant","Vacant",IF(L317="Yes","MTM",IF(M317="","",M317))))</f>
        <v/>
      </c>
      <c r="O317" s="9" t="n"/>
    </row>
    <row r="318">
      <c r="A318" s="1" t="n"/>
      <c r="B318" s="9" t="n"/>
      <c r="C318" s="9" t="n"/>
      <c r="D318" s="14" t="n"/>
      <c r="E318" s="56" t="n"/>
      <c r="F318" s="19" t="n"/>
      <c r="G318" s="9" t="n"/>
      <c r="H318" s="10" t="n"/>
      <c r="I318" s="80">
        <f>IF($F318&gt;0,$H318/$F318,"")</f>
        <v/>
      </c>
      <c r="J318" s="10" t="n"/>
      <c r="K318" s="45" t="n"/>
      <c r="L318" s="9">
        <f>IF($B318="","",IF(AND($G318&lt;&gt;"Vacant",$M318="",OR($K318&lt;&gt;"",$G318="Occupied")),"Yes","No"))</f>
        <v/>
      </c>
      <c r="M318" s="45" t="n"/>
      <c r="N318" s="24">
        <f>IF($B318="","",IF($G318="Vacant","Vacant",IF(L318="Yes","MTM",IF(M318="","",M318))))</f>
        <v/>
      </c>
      <c r="O318" s="9" t="n"/>
    </row>
    <row r="319">
      <c r="A319" s="1" t="n"/>
      <c r="B319" s="9" t="n"/>
      <c r="C319" s="9" t="n"/>
      <c r="D319" s="14" t="n"/>
      <c r="E319" s="56" t="n"/>
      <c r="F319" s="19" t="n"/>
      <c r="G319" s="9" t="n"/>
      <c r="H319" s="10" t="n"/>
      <c r="I319" s="80">
        <f>IF($F319&gt;0,$H319/$F319,"")</f>
        <v/>
      </c>
      <c r="J319" s="10" t="n"/>
      <c r="K319" s="45" t="n"/>
      <c r="L319" s="9">
        <f>IF($B319="","",IF(AND($G319&lt;&gt;"Vacant",$M319="",OR($K319&lt;&gt;"",$G319="Occupied")),"Yes","No"))</f>
        <v/>
      </c>
      <c r="M319" s="45" t="n"/>
      <c r="N319" s="24">
        <f>IF($B319="","",IF($G319="Vacant","Vacant",IF(L319="Yes","MTM",IF(M319="","",M319))))</f>
        <v/>
      </c>
      <c r="O319" s="9" t="n"/>
    </row>
    <row r="320">
      <c r="A320" s="1" t="n"/>
      <c r="B320" s="9" t="n"/>
      <c r="C320" s="9" t="n"/>
      <c r="D320" s="14" t="n"/>
      <c r="E320" s="56" t="n"/>
      <c r="F320" s="19" t="n"/>
      <c r="G320" s="9" t="n"/>
      <c r="H320" s="10" t="n"/>
      <c r="I320" s="80">
        <f>IF($F320&gt;0,$H320/$F320,"")</f>
        <v/>
      </c>
      <c r="J320" s="10" t="n"/>
      <c r="K320" s="45" t="n"/>
      <c r="L320" s="9">
        <f>IF($B320="","",IF(AND($G320&lt;&gt;"Vacant",$M320="",OR($K320&lt;&gt;"",$G320="Occupied")),"Yes","No"))</f>
        <v/>
      </c>
      <c r="M320" s="45" t="n"/>
      <c r="N320" s="24">
        <f>IF($B320="","",IF($G320="Vacant","Vacant",IF(L320="Yes","MTM",IF(M320="","",M320))))</f>
        <v/>
      </c>
      <c r="O320" s="9" t="n"/>
    </row>
    <row r="321">
      <c r="A321" s="1" t="n"/>
      <c r="B321" s="9" t="n"/>
      <c r="C321" s="9" t="n"/>
      <c r="D321" s="14" t="n"/>
      <c r="E321" s="56" t="n"/>
      <c r="F321" s="19" t="n"/>
      <c r="G321" s="9" t="n"/>
      <c r="H321" s="10" t="n"/>
      <c r="I321" s="80">
        <f>IF($F321&gt;0,$H321/$F321,"")</f>
        <v/>
      </c>
      <c r="J321" s="10" t="n"/>
      <c r="K321" s="45" t="n"/>
      <c r="L321" s="9">
        <f>IF($B321="","",IF(AND($G321&lt;&gt;"Vacant",$M321="",OR($K321&lt;&gt;"",$G321="Occupied")),"Yes","No"))</f>
        <v/>
      </c>
      <c r="M321" s="45" t="n"/>
      <c r="N321" s="24">
        <f>IF($B321="","",IF($G321="Vacant","Vacant",IF(L321="Yes","MTM",IF(M321="","",M321))))</f>
        <v/>
      </c>
      <c r="O321" s="9" t="n"/>
    </row>
    <row r="322">
      <c r="A322" s="1" t="n"/>
      <c r="B322" s="9" t="n"/>
      <c r="C322" s="9" t="n"/>
      <c r="D322" s="14" t="n"/>
      <c r="E322" s="56" t="n"/>
      <c r="F322" s="19" t="n"/>
      <c r="G322" s="9" t="n"/>
      <c r="H322" s="10" t="n"/>
      <c r="I322" s="80">
        <f>IF($F322&gt;0,$H322/$F322,"")</f>
        <v/>
      </c>
      <c r="J322" s="10" t="n"/>
      <c r="K322" s="45" t="n"/>
      <c r="L322" s="9">
        <f>IF($B322="","",IF(AND($G322&lt;&gt;"Vacant",$M322="",OR($K322&lt;&gt;"",$G322="Occupied")),"Yes","No"))</f>
        <v/>
      </c>
      <c r="M322" s="45" t="n"/>
      <c r="N322" s="24">
        <f>IF($B322="","",IF($G322="Vacant","Vacant",IF(L322="Yes","MTM",IF(M322="","",M322))))</f>
        <v/>
      </c>
      <c r="O322" s="9" t="n"/>
    </row>
    <row r="323">
      <c r="A323" s="1" t="n"/>
      <c r="B323" s="9" t="n"/>
      <c r="C323" s="9" t="n"/>
      <c r="D323" s="14" t="n"/>
      <c r="E323" s="56" t="n"/>
      <c r="F323" s="19" t="n"/>
      <c r="G323" s="9" t="n"/>
      <c r="H323" s="10" t="n"/>
      <c r="I323" s="80">
        <f>IF($F323&gt;0,$H323/$F323,"")</f>
        <v/>
      </c>
      <c r="J323" s="10" t="n"/>
      <c r="K323" s="45" t="n"/>
      <c r="L323" s="9">
        <f>IF($B323="","",IF(AND($G323&lt;&gt;"Vacant",$M323="",OR($K323&lt;&gt;"",$G323="Occupied")),"Yes","No"))</f>
        <v/>
      </c>
      <c r="M323" s="45" t="n"/>
      <c r="N323" s="24">
        <f>IF($B323="","",IF($G323="Vacant","Vacant",IF(L323="Yes","MTM",IF(M323="","",M323))))</f>
        <v/>
      </c>
      <c r="O323" s="9" t="n"/>
    </row>
    <row r="324">
      <c r="A324" s="1" t="n"/>
      <c r="B324" s="9" t="n"/>
      <c r="C324" s="9" t="n"/>
      <c r="D324" s="14" t="n"/>
      <c r="E324" s="56" t="n"/>
      <c r="F324" s="19" t="n"/>
      <c r="G324" s="9" t="n"/>
      <c r="H324" s="10" t="n"/>
      <c r="I324" s="80">
        <f>IF($F324&gt;0,$H324/$F324,"")</f>
        <v/>
      </c>
      <c r="J324" s="10" t="n"/>
      <c r="K324" s="45" t="n"/>
      <c r="L324" s="9">
        <f>IF($B324="","",IF(AND($G324&lt;&gt;"Vacant",$M324="",OR($K324&lt;&gt;"",$G324="Occupied")),"Yes","No"))</f>
        <v/>
      </c>
      <c r="M324" s="45" t="n"/>
      <c r="N324" s="24">
        <f>IF($B324="","",IF($G324="Vacant","Vacant",IF(L324="Yes","MTM",IF(M324="","",M324))))</f>
        <v/>
      </c>
      <c r="O324" s="9" t="n"/>
    </row>
    <row r="325">
      <c r="A325" s="1" t="n"/>
      <c r="B325" s="9" t="n"/>
      <c r="C325" s="9" t="n"/>
      <c r="D325" s="14" t="n"/>
      <c r="E325" s="56" t="n"/>
      <c r="F325" s="19" t="n"/>
      <c r="G325" s="9" t="n"/>
      <c r="H325" s="10" t="n"/>
      <c r="I325" s="80">
        <f>IF($F325&gt;0,$H325/$F325,"")</f>
        <v/>
      </c>
      <c r="J325" s="10" t="n"/>
      <c r="K325" s="45" t="n"/>
      <c r="L325" s="9">
        <f>IF($B325="","",IF(AND($G325&lt;&gt;"Vacant",$M325="",OR($K325&lt;&gt;"",$G325="Occupied")),"Yes","No"))</f>
        <v/>
      </c>
      <c r="M325" s="45" t="n"/>
      <c r="N325" s="24">
        <f>IF($B325="","",IF($G325="Vacant","Vacant",IF(L325="Yes","MTM",IF(M325="","",M325))))</f>
        <v/>
      </c>
      <c r="O325" s="9" t="n"/>
    </row>
    <row r="326">
      <c r="A326" s="1" t="n"/>
      <c r="B326" s="9" t="n"/>
      <c r="C326" s="9" t="n"/>
      <c r="D326" s="14" t="n"/>
      <c r="E326" s="56" t="n"/>
      <c r="F326" s="19" t="n"/>
      <c r="G326" s="9" t="n"/>
      <c r="H326" s="10" t="n"/>
      <c r="I326" s="80">
        <f>IF($F326&gt;0,$H326/$F326,"")</f>
        <v/>
      </c>
      <c r="J326" s="10" t="n"/>
      <c r="K326" s="45" t="n"/>
      <c r="L326" s="9">
        <f>IF($B326="","",IF(AND($G326&lt;&gt;"Vacant",$M326="",OR($K326&lt;&gt;"",$G326="Occupied")),"Yes","No"))</f>
        <v/>
      </c>
      <c r="M326" s="45" t="n"/>
      <c r="N326" s="24">
        <f>IF($B326="","",IF($G326="Vacant","Vacant",IF(L326="Yes","MTM",IF(M326="","",M326))))</f>
        <v/>
      </c>
      <c r="O326" s="9" t="n"/>
    </row>
    <row r="327">
      <c r="A327" s="1" t="n"/>
      <c r="B327" s="9" t="n"/>
      <c r="C327" s="9" t="n"/>
      <c r="D327" s="14" t="n"/>
      <c r="E327" s="56" t="n"/>
      <c r="F327" s="19" t="n"/>
      <c r="G327" s="9" t="n"/>
      <c r="H327" s="10" t="n"/>
      <c r="I327" s="80">
        <f>IF($F327&gt;0,$H327/$F327,"")</f>
        <v/>
      </c>
      <c r="J327" s="10" t="n"/>
      <c r="K327" s="45" t="n"/>
      <c r="L327" s="9">
        <f>IF($B327="","",IF(AND($G327&lt;&gt;"Vacant",$M327="",OR($K327&lt;&gt;"",$G327="Occupied")),"Yes","No"))</f>
        <v/>
      </c>
      <c r="M327" s="45" t="n"/>
      <c r="N327" s="24">
        <f>IF($B327="","",IF($G327="Vacant","Vacant",IF(L327="Yes","MTM",IF(M327="","",M327))))</f>
        <v/>
      </c>
      <c r="O327" s="9" t="n"/>
    </row>
    <row r="328">
      <c r="A328" s="1" t="n"/>
      <c r="B328" s="9" t="n"/>
      <c r="C328" s="9" t="n"/>
      <c r="D328" s="14" t="n"/>
      <c r="E328" s="56" t="n"/>
      <c r="F328" s="19" t="n"/>
      <c r="G328" s="9" t="n"/>
      <c r="H328" s="10" t="n"/>
      <c r="I328" s="80">
        <f>IF($F328&gt;0,$H328/$F328,"")</f>
        <v/>
      </c>
      <c r="J328" s="10" t="n"/>
      <c r="K328" s="45" t="n"/>
      <c r="L328" s="9">
        <f>IF($B328="","",IF(AND($G328&lt;&gt;"Vacant",$M328="",OR($K328&lt;&gt;"",$G328="Occupied")),"Yes","No"))</f>
        <v/>
      </c>
      <c r="M328" s="45" t="n"/>
      <c r="N328" s="24">
        <f>IF($B328="","",IF($G328="Vacant","Vacant",IF(L328="Yes","MTM",IF(M328="","",M328))))</f>
        <v/>
      </c>
      <c r="O328" s="9" t="n"/>
    </row>
    <row r="329">
      <c r="A329" s="1" t="n"/>
      <c r="B329" s="9" t="n"/>
      <c r="C329" s="9" t="n"/>
      <c r="D329" s="14" t="n"/>
      <c r="E329" s="56" t="n"/>
      <c r="F329" s="19" t="n"/>
      <c r="G329" s="9" t="n"/>
      <c r="H329" s="10" t="n"/>
      <c r="I329" s="80">
        <f>IF($F329&gt;0,$H329/$F329,"")</f>
        <v/>
      </c>
      <c r="J329" s="10" t="n"/>
      <c r="K329" s="45" t="n"/>
      <c r="L329" s="9">
        <f>IF($B329="","",IF(AND($G329&lt;&gt;"Vacant",$M329="",OR($K329&lt;&gt;"",$G329="Occupied")),"Yes","No"))</f>
        <v/>
      </c>
      <c r="M329" s="45" t="n"/>
      <c r="N329" s="24">
        <f>IF($B329="","",IF($G329="Vacant","Vacant",IF(L329="Yes","MTM",IF(M329="","",M329))))</f>
        <v/>
      </c>
      <c r="O329" s="9" t="n"/>
    </row>
    <row r="330">
      <c r="A330" s="1" t="n"/>
      <c r="B330" s="9" t="n"/>
      <c r="C330" s="9" t="n"/>
      <c r="D330" s="14" t="n"/>
      <c r="E330" s="56" t="n"/>
      <c r="F330" s="19" t="n"/>
      <c r="G330" s="9" t="n"/>
      <c r="H330" s="10" t="n"/>
      <c r="I330" s="80">
        <f>IF($F330&gt;0,$H330/$F330,"")</f>
        <v/>
      </c>
      <c r="J330" s="10" t="n"/>
      <c r="K330" s="45" t="n"/>
      <c r="L330" s="9">
        <f>IF($B330="","",IF(AND($G330&lt;&gt;"Vacant",$M330="",OR($K330&lt;&gt;"",$G330="Occupied")),"Yes","No"))</f>
        <v/>
      </c>
      <c r="M330" s="45" t="n"/>
      <c r="N330" s="24">
        <f>IF($B330="","",IF($G330="Vacant","Vacant",IF(L330="Yes","MTM",IF(M330="","",M330))))</f>
        <v/>
      </c>
      <c r="O330" s="9" t="n"/>
    </row>
    <row r="331">
      <c r="A331" s="1" t="n"/>
      <c r="B331" s="9" t="n"/>
      <c r="C331" s="9" t="n"/>
      <c r="D331" s="14" t="n"/>
      <c r="E331" s="56" t="n"/>
      <c r="F331" s="19" t="n"/>
      <c r="G331" s="9" t="n"/>
      <c r="H331" s="10" t="n"/>
      <c r="I331" s="80">
        <f>IF($F331&gt;0,$H331/$F331,"")</f>
        <v/>
      </c>
      <c r="J331" s="10" t="n"/>
      <c r="K331" s="45" t="n"/>
      <c r="L331" s="9">
        <f>IF($B331="","",IF(AND($G331&lt;&gt;"Vacant",$M331="",OR($K331&lt;&gt;"",$G331="Occupied")),"Yes","No"))</f>
        <v/>
      </c>
      <c r="M331" s="45" t="n"/>
      <c r="N331" s="24">
        <f>IF($B331="","",IF($G331="Vacant","Vacant",IF(L331="Yes","MTM",IF(M331="","",M331))))</f>
        <v/>
      </c>
      <c r="O331" s="9" t="n"/>
    </row>
    <row r="332">
      <c r="A332" s="1" t="n"/>
      <c r="B332" s="9" t="n"/>
      <c r="C332" s="9" t="n"/>
      <c r="D332" s="14" t="n"/>
      <c r="E332" s="56" t="n"/>
      <c r="F332" s="19" t="n"/>
      <c r="G332" s="9" t="n"/>
      <c r="H332" s="10" t="n"/>
      <c r="I332" s="80">
        <f>IF($F332&gt;0,$H332/$F332,"")</f>
        <v/>
      </c>
      <c r="J332" s="10" t="n"/>
      <c r="K332" s="45" t="n"/>
      <c r="L332" s="9">
        <f>IF($B332="","",IF(AND($G332&lt;&gt;"Vacant",$M332="",OR($K332&lt;&gt;"",$G332="Occupied")),"Yes","No"))</f>
        <v/>
      </c>
      <c r="M332" s="45" t="n"/>
      <c r="N332" s="24">
        <f>IF($B332="","",IF($G332="Vacant","Vacant",IF(L332="Yes","MTM",IF(M332="","",M332))))</f>
        <v/>
      </c>
      <c r="O332" s="9" t="n"/>
    </row>
    <row r="333">
      <c r="A333" s="1" t="n"/>
      <c r="B333" s="9" t="n"/>
      <c r="C333" s="9" t="n"/>
      <c r="D333" s="14" t="n"/>
      <c r="E333" s="56" t="n"/>
      <c r="F333" s="19" t="n"/>
      <c r="G333" s="9" t="n"/>
      <c r="H333" s="10" t="n"/>
      <c r="I333" s="80">
        <f>IF($F333&gt;0,$H333/$F333,"")</f>
        <v/>
      </c>
      <c r="J333" s="10" t="n"/>
      <c r="K333" s="45" t="n"/>
      <c r="L333" s="9">
        <f>IF($B333="","",IF(AND($G333&lt;&gt;"Vacant",$M333="",OR($K333&lt;&gt;"",$G333="Occupied")),"Yes","No"))</f>
        <v/>
      </c>
      <c r="M333" s="45" t="n"/>
      <c r="N333" s="24">
        <f>IF($B333="","",IF($G333="Vacant","Vacant",IF(L333="Yes","MTM",IF(M333="","",M333))))</f>
        <v/>
      </c>
      <c r="O333" s="9" t="n"/>
    </row>
    <row r="334">
      <c r="A334" s="1" t="n"/>
      <c r="B334" s="9" t="n"/>
      <c r="C334" s="9" t="n"/>
      <c r="D334" s="14" t="n"/>
      <c r="E334" s="56" t="n"/>
      <c r="F334" s="19" t="n"/>
      <c r="G334" s="9" t="n"/>
      <c r="H334" s="10" t="n"/>
      <c r="I334" s="80">
        <f>IF($F334&gt;0,$H334/$F334,"")</f>
        <v/>
      </c>
      <c r="J334" s="10" t="n"/>
      <c r="K334" s="45" t="n"/>
      <c r="L334" s="9">
        <f>IF($B334="","",IF(AND($G334&lt;&gt;"Vacant",$M334="",OR($K334&lt;&gt;"",$G334="Occupied")),"Yes","No"))</f>
        <v/>
      </c>
      <c r="M334" s="45" t="n"/>
      <c r="N334" s="24">
        <f>IF($B334="","",IF($G334="Vacant","Vacant",IF(L334="Yes","MTM",IF(M334="","",M334))))</f>
        <v/>
      </c>
      <c r="O334" s="9" t="n"/>
    </row>
    <row r="335">
      <c r="A335" s="1" t="n"/>
      <c r="B335" s="9" t="n"/>
      <c r="C335" s="9" t="n"/>
      <c r="D335" s="14" t="n"/>
      <c r="E335" s="56" t="n"/>
      <c r="F335" s="19" t="n"/>
      <c r="G335" s="9" t="n"/>
      <c r="H335" s="10" t="n"/>
      <c r="I335" s="80">
        <f>IF($F335&gt;0,$H335/$F335,"")</f>
        <v/>
      </c>
      <c r="J335" s="10" t="n"/>
      <c r="K335" s="45" t="n"/>
      <c r="L335" s="9">
        <f>IF($B335="","",IF(AND($G335&lt;&gt;"Vacant",$M335="",OR($K335&lt;&gt;"",$G335="Occupied")),"Yes","No"))</f>
        <v/>
      </c>
      <c r="M335" s="45" t="n"/>
      <c r="N335" s="24">
        <f>IF($B335="","",IF($G335="Vacant","Vacant",IF(L335="Yes","MTM",IF(M335="","",M335))))</f>
        <v/>
      </c>
      <c r="O335" s="9" t="n"/>
    </row>
    <row r="336">
      <c r="A336" s="1" t="n"/>
      <c r="B336" s="9" t="n"/>
      <c r="C336" s="9" t="n"/>
      <c r="D336" s="14" t="n"/>
      <c r="E336" s="56" t="n"/>
      <c r="F336" s="19" t="n"/>
      <c r="G336" s="9" t="n"/>
      <c r="H336" s="10" t="n"/>
      <c r="I336" s="80">
        <f>IF($F336&gt;0,$H336/$F336,"")</f>
        <v/>
      </c>
      <c r="J336" s="10" t="n"/>
      <c r="K336" s="45" t="n"/>
      <c r="L336" s="9">
        <f>IF($B336="","",IF(AND($G336&lt;&gt;"Vacant",$M336="",OR($K336&lt;&gt;"",$G336="Occupied")),"Yes","No"))</f>
        <v/>
      </c>
      <c r="M336" s="45" t="n"/>
      <c r="N336" s="24">
        <f>IF($B336="","",IF($G336="Vacant","Vacant",IF(L336="Yes","MTM",IF(M336="","",M336))))</f>
        <v/>
      </c>
      <c r="O336" s="9" t="n"/>
    </row>
    <row r="337">
      <c r="A337" s="1" t="n"/>
      <c r="B337" s="9" t="n"/>
      <c r="C337" s="9" t="n"/>
      <c r="D337" s="14" t="n"/>
      <c r="E337" s="56" t="n"/>
      <c r="F337" s="19" t="n"/>
      <c r="G337" s="9" t="n"/>
      <c r="H337" s="10" t="n"/>
      <c r="I337" s="80">
        <f>IF($F337&gt;0,$H337/$F337,"")</f>
        <v/>
      </c>
      <c r="J337" s="10" t="n"/>
      <c r="K337" s="45" t="n"/>
      <c r="L337" s="9">
        <f>IF($B337="","",IF(AND($G337&lt;&gt;"Vacant",$M337="",OR($K337&lt;&gt;"",$G337="Occupied")),"Yes","No"))</f>
        <v/>
      </c>
      <c r="M337" s="45" t="n"/>
      <c r="N337" s="24">
        <f>IF($B337="","",IF($G337="Vacant","Vacant",IF(L337="Yes","MTM",IF(M337="","",M337))))</f>
        <v/>
      </c>
      <c r="O337" s="9" t="n"/>
    </row>
    <row r="338">
      <c r="A338" s="1" t="n"/>
      <c r="B338" s="9" t="n"/>
      <c r="C338" s="9" t="n"/>
      <c r="D338" s="14" t="n"/>
      <c r="E338" s="56" t="n"/>
      <c r="F338" s="19" t="n"/>
      <c r="G338" s="9" t="n"/>
      <c r="H338" s="10" t="n"/>
      <c r="I338" s="80">
        <f>IF($F338&gt;0,$H338/$F338,"")</f>
        <v/>
      </c>
      <c r="J338" s="10" t="n"/>
      <c r="K338" s="45" t="n"/>
      <c r="L338" s="9">
        <f>IF($B338="","",IF(AND($G338&lt;&gt;"Vacant",$M338="",OR($K338&lt;&gt;"",$G338="Occupied")),"Yes","No"))</f>
        <v/>
      </c>
      <c r="M338" s="45" t="n"/>
      <c r="N338" s="24">
        <f>IF($B338="","",IF($G338="Vacant","Vacant",IF(L338="Yes","MTM",IF(M338="","",M338))))</f>
        <v/>
      </c>
      <c r="O338" s="9" t="n"/>
    </row>
    <row r="339">
      <c r="A339" s="1" t="n"/>
      <c r="B339" s="9" t="n"/>
      <c r="C339" s="9" t="n"/>
      <c r="D339" s="14" t="n"/>
      <c r="E339" s="56" t="n"/>
      <c r="F339" s="19" t="n"/>
      <c r="G339" s="9" t="n"/>
      <c r="H339" s="10" t="n"/>
      <c r="I339" s="80">
        <f>IF($F339&gt;0,$H339/$F339,"")</f>
        <v/>
      </c>
      <c r="J339" s="10" t="n"/>
      <c r="K339" s="45" t="n"/>
      <c r="L339" s="9">
        <f>IF($B339="","",IF(AND($G339&lt;&gt;"Vacant",$M339="",OR($K339&lt;&gt;"",$G339="Occupied")),"Yes","No"))</f>
        <v/>
      </c>
      <c r="M339" s="45" t="n"/>
      <c r="N339" s="24">
        <f>IF($B339="","",IF($G339="Vacant","Vacant",IF(L339="Yes","MTM",IF(M339="","",M339))))</f>
        <v/>
      </c>
      <c r="O339" s="9" t="n"/>
    </row>
    <row r="340">
      <c r="A340" s="1" t="n"/>
      <c r="B340" s="9" t="n"/>
      <c r="C340" s="9" t="n"/>
      <c r="D340" s="14" t="n"/>
      <c r="E340" s="56" t="n"/>
      <c r="F340" s="19" t="n"/>
      <c r="G340" s="9" t="n"/>
      <c r="H340" s="10" t="n"/>
      <c r="I340" s="80">
        <f>IF($F340&gt;0,$H340/$F340,"")</f>
        <v/>
      </c>
      <c r="J340" s="10" t="n"/>
      <c r="K340" s="45" t="n"/>
      <c r="L340" s="9">
        <f>IF($B340="","",IF(AND($G340&lt;&gt;"Vacant",$M340="",OR($K340&lt;&gt;"",$G340="Occupied")),"Yes","No"))</f>
        <v/>
      </c>
      <c r="M340" s="45" t="n"/>
      <c r="N340" s="24">
        <f>IF($B340="","",IF($G340="Vacant","Vacant",IF(L340="Yes","MTM",IF(M340="","",M340))))</f>
        <v/>
      </c>
      <c r="O340" s="9" t="n"/>
    </row>
    <row r="341">
      <c r="A341" s="1" t="n"/>
      <c r="B341" s="9" t="n"/>
      <c r="C341" s="9" t="n"/>
      <c r="D341" s="14" t="n"/>
      <c r="E341" s="56" t="n"/>
      <c r="F341" s="19" t="n"/>
      <c r="G341" s="9" t="n"/>
      <c r="H341" s="10" t="n"/>
      <c r="I341" s="80">
        <f>IF($F341&gt;0,$H341/$F341,"")</f>
        <v/>
      </c>
      <c r="J341" s="10" t="n"/>
      <c r="K341" s="45" t="n"/>
      <c r="L341" s="9">
        <f>IF($B341="","",IF(AND($G341&lt;&gt;"Vacant",$M341="",OR($K341&lt;&gt;"",$G341="Occupied")),"Yes","No"))</f>
        <v/>
      </c>
      <c r="M341" s="45" t="n"/>
      <c r="N341" s="24">
        <f>IF($B341="","",IF($G341="Vacant","Vacant",IF(L341="Yes","MTM",IF(M341="","",M341))))</f>
        <v/>
      </c>
      <c r="O341" s="9" t="n"/>
    </row>
    <row r="342">
      <c r="A342" s="1" t="n"/>
      <c r="B342" s="9" t="n"/>
      <c r="C342" s="9" t="n"/>
      <c r="D342" s="14" t="n"/>
      <c r="E342" s="56" t="n"/>
      <c r="F342" s="19" t="n"/>
      <c r="G342" s="9" t="n"/>
      <c r="H342" s="10" t="n"/>
      <c r="I342" s="80">
        <f>IF($F342&gt;0,$H342/$F342,"")</f>
        <v/>
      </c>
      <c r="J342" s="10" t="n"/>
      <c r="K342" s="45" t="n"/>
      <c r="L342" s="9">
        <f>IF($B342="","",IF(AND($G342&lt;&gt;"Vacant",$M342="",OR($K342&lt;&gt;"",$G342="Occupied")),"Yes","No"))</f>
        <v/>
      </c>
      <c r="M342" s="45" t="n"/>
      <c r="N342" s="24">
        <f>IF($B342="","",IF($G342="Vacant","Vacant",IF(L342="Yes","MTM",IF(M342="","",M342))))</f>
        <v/>
      </c>
      <c r="O342" s="9" t="n"/>
    </row>
    <row r="343">
      <c r="A343" s="1" t="n"/>
      <c r="B343" s="9" t="n"/>
      <c r="C343" s="9" t="n"/>
      <c r="D343" s="14" t="n"/>
      <c r="E343" s="56" t="n"/>
      <c r="F343" s="19" t="n"/>
      <c r="G343" s="9" t="n"/>
      <c r="H343" s="10" t="n"/>
      <c r="I343" s="80">
        <f>IF($F343&gt;0,$H343/$F343,"")</f>
        <v/>
      </c>
      <c r="J343" s="10" t="n"/>
      <c r="K343" s="45" t="n"/>
      <c r="L343" s="9">
        <f>IF($B343="","",IF(AND($G343&lt;&gt;"Vacant",$M343="",OR($K343&lt;&gt;"",$G343="Occupied")),"Yes","No"))</f>
        <v/>
      </c>
      <c r="M343" s="45" t="n"/>
      <c r="N343" s="24">
        <f>IF($B343="","",IF($G343="Vacant","Vacant",IF(L343="Yes","MTM",IF(M343="","",M343))))</f>
        <v/>
      </c>
      <c r="O343" s="9" t="n"/>
    </row>
    <row r="344">
      <c r="A344" s="1" t="n"/>
      <c r="B344" s="9" t="n"/>
      <c r="C344" s="9" t="n"/>
      <c r="D344" s="14" t="n"/>
      <c r="E344" s="56" t="n"/>
      <c r="F344" s="19" t="n"/>
      <c r="G344" s="9" t="n"/>
      <c r="H344" s="10" t="n"/>
      <c r="I344" s="80">
        <f>IF($F344&gt;0,$H344/$F344,"")</f>
        <v/>
      </c>
      <c r="J344" s="10" t="n"/>
      <c r="K344" s="45" t="n"/>
      <c r="L344" s="9">
        <f>IF($B344="","",IF(AND($G344&lt;&gt;"Vacant",$M344="",OR($K344&lt;&gt;"",$G344="Occupied")),"Yes","No"))</f>
        <v/>
      </c>
      <c r="M344" s="45" t="n"/>
      <c r="N344" s="24">
        <f>IF($B344="","",IF($G344="Vacant","Vacant",IF(L344="Yes","MTM",IF(M344="","",M344))))</f>
        <v/>
      </c>
      <c r="O344" s="9" t="n"/>
    </row>
    <row r="345">
      <c r="A345" s="1" t="n"/>
      <c r="B345" s="9" t="n"/>
      <c r="C345" s="9" t="n"/>
      <c r="D345" s="14" t="n"/>
      <c r="E345" s="56" t="n"/>
      <c r="F345" s="19" t="n"/>
      <c r="G345" s="9" t="n"/>
      <c r="H345" s="10" t="n"/>
      <c r="I345" s="80">
        <f>IF($F345&gt;0,$H345/$F345,"")</f>
        <v/>
      </c>
      <c r="J345" s="10" t="n"/>
      <c r="K345" s="45" t="n"/>
      <c r="L345" s="9">
        <f>IF($B345="","",IF(AND($G345&lt;&gt;"Vacant",$M345="",OR($K345&lt;&gt;"",$G345="Occupied")),"Yes","No"))</f>
        <v/>
      </c>
      <c r="M345" s="45" t="n"/>
      <c r="N345" s="24">
        <f>IF($B345="","",IF($G345="Vacant","Vacant",IF(L345="Yes","MTM",IF(M345="","",M345))))</f>
        <v/>
      </c>
      <c r="O345" s="9" t="n"/>
    </row>
    <row r="346">
      <c r="A346" s="1" t="n"/>
      <c r="B346" s="9" t="n"/>
      <c r="C346" s="9" t="n"/>
      <c r="D346" s="14" t="n"/>
      <c r="E346" s="56" t="n"/>
      <c r="F346" s="19" t="n"/>
      <c r="G346" s="9" t="n"/>
      <c r="H346" s="10" t="n"/>
      <c r="I346" s="80">
        <f>IF($F346&gt;0,$H346/$F346,"")</f>
        <v/>
      </c>
      <c r="J346" s="10" t="n"/>
      <c r="K346" s="45" t="n"/>
      <c r="L346" s="9">
        <f>IF($B346="","",IF(AND($G346&lt;&gt;"Vacant",$M346="",OR($K346&lt;&gt;"",$G346="Occupied")),"Yes","No"))</f>
        <v/>
      </c>
      <c r="M346" s="45" t="n"/>
      <c r="N346" s="24">
        <f>IF($B346="","",IF($G346="Vacant","Vacant",IF(L346="Yes","MTM",IF(M346="","",M346))))</f>
        <v/>
      </c>
      <c r="O346" s="9" t="n"/>
    </row>
    <row r="347">
      <c r="A347" s="1" t="n"/>
      <c r="B347" s="9" t="n"/>
      <c r="C347" s="9" t="n"/>
      <c r="D347" s="14" t="n"/>
      <c r="E347" s="56" t="n"/>
      <c r="F347" s="19" t="n"/>
      <c r="G347" s="9" t="n"/>
      <c r="H347" s="10" t="n"/>
      <c r="I347" s="80">
        <f>IF($F347&gt;0,$H347/$F347,"")</f>
        <v/>
      </c>
      <c r="J347" s="10" t="n"/>
      <c r="K347" s="45" t="n"/>
      <c r="L347" s="9">
        <f>IF($B347="","",IF(AND($G347&lt;&gt;"Vacant",$M347="",OR($K347&lt;&gt;"",$G347="Occupied")),"Yes","No"))</f>
        <v/>
      </c>
      <c r="M347" s="45" t="n"/>
      <c r="N347" s="24">
        <f>IF($B347="","",IF($G347="Vacant","Vacant",IF(L347="Yes","MTM",IF(M347="","",M347))))</f>
        <v/>
      </c>
      <c r="O347" s="9" t="n"/>
    </row>
    <row r="348">
      <c r="A348" s="1" t="n"/>
      <c r="B348" s="9" t="n"/>
      <c r="C348" s="9" t="n"/>
      <c r="D348" s="14" t="n"/>
      <c r="E348" s="56" t="n"/>
      <c r="F348" s="19" t="n"/>
      <c r="G348" s="9" t="n"/>
      <c r="H348" s="10" t="n"/>
      <c r="I348" s="80">
        <f>IF($F348&gt;0,$H348/$F348,"")</f>
        <v/>
      </c>
      <c r="J348" s="10" t="n"/>
      <c r="K348" s="45" t="n"/>
      <c r="L348" s="9">
        <f>IF($B348="","",IF(AND($G348&lt;&gt;"Vacant",$M348="",OR($K348&lt;&gt;"",$G348="Occupied")),"Yes","No"))</f>
        <v/>
      </c>
      <c r="M348" s="45" t="n"/>
      <c r="N348" s="24">
        <f>IF($B348="","",IF($G348="Vacant","Vacant",IF(L348="Yes","MTM",IF(M348="","",M348))))</f>
        <v/>
      </c>
      <c r="O348" s="9" t="n"/>
    </row>
    <row r="349">
      <c r="A349" s="1" t="n"/>
      <c r="B349" s="9" t="n"/>
      <c r="C349" s="9" t="n"/>
      <c r="D349" s="14" t="n"/>
      <c r="E349" s="56" t="n"/>
      <c r="F349" s="19" t="n"/>
      <c r="G349" s="9" t="n"/>
      <c r="H349" s="10" t="n"/>
      <c r="I349" s="80">
        <f>IF($F349&gt;0,$H349/$F349,"")</f>
        <v/>
      </c>
      <c r="J349" s="10" t="n"/>
      <c r="K349" s="45" t="n"/>
      <c r="L349" s="9">
        <f>IF($B349="","",IF(AND($G349&lt;&gt;"Vacant",$M349="",OR($K349&lt;&gt;"",$G349="Occupied")),"Yes","No"))</f>
        <v/>
      </c>
      <c r="M349" s="45" t="n"/>
      <c r="N349" s="24">
        <f>IF($B349="","",IF($G349="Vacant","Vacant",IF(L349="Yes","MTM",IF(M349="","",M349))))</f>
        <v/>
      </c>
      <c r="O349" s="9" t="n"/>
    </row>
    <row r="350">
      <c r="A350" s="1" t="n"/>
      <c r="B350" s="9" t="n"/>
      <c r="C350" s="9" t="n"/>
      <c r="D350" s="14" t="n"/>
      <c r="E350" s="56" t="n"/>
      <c r="F350" s="19" t="n"/>
      <c r="G350" s="9" t="n"/>
      <c r="H350" s="10" t="n"/>
      <c r="I350" s="80">
        <f>IF($F350&gt;0,$H350/$F350,"")</f>
        <v/>
      </c>
      <c r="J350" s="10" t="n"/>
      <c r="K350" s="45" t="n"/>
      <c r="L350" s="9">
        <f>IF($B350="","",IF(AND($G350&lt;&gt;"Vacant",$M350="",OR($K350&lt;&gt;"",$G350="Occupied")),"Yes","No"))</f>
        <v/>
      </c>
      <c r="M350" s="45" t="n"/>
      <c r="N350" s="24">
        <f>IF($B350="","",IF($G350="Vacant","Vacant",IF(L350="Yes","MTM",IF(M350="","",M350))))</f>
        <v/>
      </c>
      <c r="O350" s="9" t="n"/>
    </row>
    <row r="351">
      <c r="A351" s="1" t="n"/>
      <c r="B351" s="9" t="n"/>
      <c r="C351" s="9" t="n"/>
      <c r="D351" s="14" t="n"/>
      <c r="E351" s="56" t="n"/>
      <c r="F351" s="19" t="n"/>
      <c r="G351" s="9" t="n"/>
      <c r="H351" s="10" t="n"/>
      <c r="I351" s="80">
        <f>IF($F351&gt;0,$H351/$F351,"")</f>
        <v/>
      </c>
      <c r="J351" s="10" t="n"/>
      <c r="K351" s="45" t="n"/>
      <c r="L351" s="9">
        <f>IF($B351="","",IF(AND($G351&lt;&gt;"Vacant",$M351="",OR($K351&lt;&gt;"",$G351="Occupied")),"Yes","No"))</f>
        <v/>
      </c>
      <c r="M351" s="45" t="n"/>
      <c r="N351" s="24">
        <f>IF($B351="","",IF($G351="Vacant","Vacant",IF(L351="Yes","MTM",IF(M351="","",M351))))</f>
        <v/>
      </c>
      <c r="O351" s="9" t="n"/>
    </row>
    <row r="352">
      <c r="A352" s="1" t="n"/>
      <c r="B352" s="9" t="n"/>
      <c r="C352" s="9" t="n"/>
      <c r="D352" s="14" t="n"/>
      <c r="E352" s="56" t="n"/>
      <c r="F352" s="19" t="n"/>
      <c r="G352" s="9" t="n"/>
      <c r="H352" s="10" t="n"/>
      <c r="I352" s="80">
        <f>IF($F352&gt;0,$H352/$F352,"")</f>
        <v/>
      </c>
      <c r="J352" s="10" t="n"/>
      <c r="K352" s="45" t="n"/>
      <c r="L352" s="9">
        <f>IF($B352="","",IF(AND($G352&lt;&gt;"Vacant",$M352="",OR($K352&lt;&gt;"",$G352="Occupied")),"Yes","No"))</f>
        <v/>
      </c>
      <c r="M352" s="45" t="n"/>
      <c r="N352" s="24">
        <f>IF($B352="","",IF($G352="Vacant","Vacant",IF(L352="Yes","MTM",IF(M352="","",M352))))</f>
        <v/>
      </c>
      <c r="O352" s="9" t="n"/>
    </row>
    <row r="353">
      <c r="A353" s="1" t="n"/>
      <c r="B353" s="9" t="n"/>
      <c r="C353" s="9" t="n"/>
      <c r="D353" s="14" t="n"/>
      <c r="E353" s="56" t="n"/>
      <c r="F353" s="19" t="n"/>
      <c r="G353" s="9" t="n"/>
      <c r="H353" s="10" t="n"/>
      <c r="I353" s="80">
        <f>IF($F353&gt;0,$H353/$F353,"")</f>
        <v/>
      </c>
      <c r="J353" s="10" t="n"/>
      <c r="K353" s="45" t="n"/>
      <c r="L353" s="9">
        <f>IF($B353="","",IF(AND($G353&lt;&gt;"Vacant",$M353="",OR($K353&lt;&gt;"",$G353="Occupied")),"Yes","No"))</f>
        <v/>
      </c>
      <c r="M353" s="45" t="n"/>
      <c r="N353" s="24">
        <f>IF($B353="","",IF($G353="Vacant","Vacant",IF(L353="Yes","MTM",IF(M353="","",M353))))</f>
        <v/>
      </c>
      <c r="O353" s="9" t="n"/>
    </row>
    <row r="354">
      <c r="A354" s="1" t="n"/>
      <c r="B354" s="9" t="n"/>
      <c r="C354" s="9" t="n"/>
      <c r="D354" s="14" t="n"/>
      <c r="E354" s="56" t="n"/>
      <c r="F354" s="19" t="n"/>
      <c r="G354" s="9" t="n"/>
      <c r="H354" s="10" t="n"/>
      <c r="I354" s="80">
        <f>IF($F354&gt;0,$H354/$F354,"")</f>
        <v/>
      </c>
      <c r="J354" s="10" t="n"/>
      <c r="K354" s="45" t="n"/>
      <c r="L354" s="9">
        <f>IF($B354="","",IF(AND($G354&lt;&gt;"Vacant",$M354="",OR($K354&lt;&gt;"",$G354="Occupied")),"Yes","No"))</f>
        <v/>
      </c>
      <c r="M354" s="45" t="n"/>
      <c r="N354" s="24">
        <f>IF($B354="","",IF($G354="Vacant","Vacant",IF(L354="Yes","MTM",IF(M354="","",M354))))</f>
        <v/>
      </c>
      <c r="O354" s="9" t="n"/>
    </row>
    <row r="355">
      <c r="A355" s="1" t="n"/>
      <c r="B355" s="9" t="n"/>
      <c r="C355" s="9" t="n"/>
      <c r="D355" s="14" t="n"/>
      <c r="E355" s="56" t="n"/>
      <c r="F355" s="19" t="n"/>
      <c r="G355" s="9" t="n"/>
      <c r="H355" s="10" t="n"/>
      <c r="I355" s="80">
        <f>IF($F355&gt;0,$H355/$F355,"")</f>
        <v/>
      </c>
      <c r="J355" s="10" t="n"/>
      <c r="K355" s="45" t="n"/>
      <c r="L355" s="9">
        <f>IF($B355="","",IF(AND($G355&lt;&gt;"Vacant",$M355="",OR($K355&lt;&gt;"",$G355="Occupied")),"Yes","No"))</f>
        <v/>
      </c>
      <c r="M355" s="45" t="n"/>
      <c r="N355" s="24">
        <f>IF($B355="","",IF($G355="Vacant","Vacant",IF(L355="Yes","MTM",IF(M355="","",M355))))</f>
        <v/>
      </c>
      <c r="O355" s="9" t="n"/>
    </row>
    <row r="356">
      <c r="A356" s="1" t="n"/>
      <c r="B356" s="9" t="n"/>
      <c r="C356" s="9" t="n"/>
      <c r="D356" s="14" t="n"/>
      <c r="E356" s="56" t="n"/>
      <c r="F356" s="19" t="n"/>
      <c r="G356" s="9" t="n"/>
      <c r="H356" s="10" t="n"/>
      <c r="I356" s="80">
        <f>IF($F356&gt;0,$H356/$F356,"")</f>
        <v/>
      </c>
      <c r="J356" s="10" t="n"/>
      <c r="K356" s="45" t="n"/>
      <c r="L356" s="9">
        <f>IF($B356="","",IF(AND($G356&lt;&gt;"Vacant",$M356="",OR($K356&lt;&gt;"",$G356="Occupied")),"Yes","No"))</f>
        <v/>
      </c>
      <c r="M356" s="45" t="n"/>
      <c r="N356" s="24">
        <f>IF($B356="","",IF($G356="Vacant","Vacant",IF(L356="Yes","MTM",IF(M356="","",M356))))</f>
        <v/>
      </c>
      <c r="O356" s="9" t="n"/>
    </row>
    <row r="357">
      <c r="A357" s="1" t="n"/>
      <c r="B357" s="9" t="n"/>
      <c r="C357" s="9" t="n"/>
      <c r="D357" s="14" t="n"/>
      <c r="E357" s="56" t="n"/>
      <c r="F357" s="19" t="n"/>
      <c r="G357" s="9" t="n"/>
      <c r="H357" s="10" t="n"/>
      <c r="I357" s="80">
        <f>IF($F357&gt;0,$H357/$F357,"")</f>
        <v/>
      </c>
      <c r="J357" s="10" t="n"/>
      <c r="K357" s="45" t="n"/>
      <c r="L357" s="9">
        <f>IF($B357="","",IF(AND($G357&lt;&gt;"Vacant",$M357="",OR($K357&lt;&gt;"",$G357="Occupied")),"Yes","No"))</f>
        <v/>
      </c>
      <c r="M357" s="45" t="n"/>
      <c r="N357" s="24">
        <f>IF($B357="","",IF($G357="Vacant","Vacant",IF(L357="Yes","MTM",IF(M357="","",M357))))</f>
        <v/>
      </c>
      <c r="O357" s="9" t="n"/>
    </row>
    <row r="358">
      <c r="A358" s="1" t="n"/>
      <c r="B358" s="9" t="n"/>
      <c r="C358" s="9" t="n"/>
      <c r="D358" s="14" t="n"/>
      <c r="E358" s="56" t="n"/>
      <c r="F358" s="19" t="n"/>
      <c r="G358" s="9" t="n"/>
      <c r="H358" s="10" t="n"/>
      <c r="I358" s="80">
        <f>IF($F358&gt;0,$H358/$F358,"")</f>
        <v/>
      </c>
      <c r="J358" s="10" t="n"/>
      <c r="K358" s="45" t="n"/>
      <c r="L358" s="9">
        <f>IF($B358="","",IF(AND($G358&lt;&gt;"Vacant",$M358="",OR($K358&lt;&gt;"",$G358="Occupied")),"Yes","No"))</f>
        <v/>
      </c>
      <c r="M358" s="45" t="n"/>
      <c r="N358" s="24">
        <f>IF($B358="","",IF($G358="Vacant","Vacant",IF(L358="Yes","MTM",IF(M358="","",M358))))</f>
        <v/>
      </c>
      <c r="O358" s="9" t="n"/>
    </row>
    <row r="359">
      <c r="A359" s="1" t="n"/>
      <c r="B359" s="9" t="n"/>
      <c r="C359" s="9" t="n"/>
      <c r="D359" s="14" t="n"/>
      <c r="E359" s="56" t="n"/>
      <c r="F359" s="19" t="n"/>
      <c r="G359" s="9" t="n"/>
      <c r="H359" s="10" t="n"/>
      <c r="I359" s="80">
        <f>IF($F359&gt;0,$H359/$F359,"")</f>
        <v/>
      </c>
      <c r="J359" s="10" t="n"/>
      <c r="K359" s="45" t="n"/>
      <c r="L359" s="9">
        <f>IF($B359="","",IF(AND($G359&lt;&gt;"Vacant",$M359="",OR($K359&lt;&gt;"",$G359="Occupied")),"Yes","No"))</f>
        <v/>
      </c>
      <c r="M359" s="45" t="n"/>
      <c r="N359" s="24">
        <f>IF($B359="","",IF($G359="Vacant","Vacant",IF(L359="Yes","MTM",IF(M359="","",M359))))</f>
        <v/>
      </c>
      <c r="O359" s="9" t="n"/>
    </row>
    <row r="360">
      <c r="A360" s="1" t="n"/>
      <c r="B360" s="9" t="n"/>
      <c r="C360" s="9" t="n"/>
      <c r="D360" s="14" t="n"/>
      <c r="E360" s="56" t="n"/>
      <c r="F360" s="19" t="n"/>
      <c r="G360" s="9" t="n"/>
      <c r="H360" s="10" t="n"/>
      <c r="I360" s="80">
        <f>IF($F360&gt;0,$H360/$F360,"")</f>
        <v/>
      </c>
      <c r="J360" s="10" t="n"/>
      <c r="K360" s="45" t="n"/>
      <c r="L360" s="9">
        <f>IF($B360="","",IF(AND($G360&lt;&gt;"Vacant",$M360="",OR($K360&lt;&gt;"",$G360="Occupied")),"Yes","No"))</f>
        <v/>
      </c>
      <c r="M360" s="45" t="n"/>
      <c r="N360" s="24">
        <f>IF($B360="","",IF($G360="Vacant","Vacant",IF(L360="Yes","MTM",IF(M360="","",M360))))</f>
        <v/>
      </c>
      <c r="O360" s="9" t="n"/>
    </row>
    <row r="361">
      <c r="A361" s="1" t="n"/>
      <c r="B361" s="9" t="n"/>
      <c r="C361" s="9" t="n"/>
      <c r="D361" s="14" t="n"/>
      <c r="E361" s="56" t="n"/>
      <c r="F361" s="19" t="n"/>
      <c r="G361" s="9" t="n"/>
      <c r="H361" s="10" t="n"/>
      <c r="I361" s="80">
        <f>IF($F361&gt;0,$H361/$F361,"")</f>
        <v/>
      </c>
      <c r="J361" s="10" t="n"/>
      <c r="K361" s="45" t="n"/>
      <c r="L361" s="9">
        <f>IF($B361="","",IF(AND($G361&lt;&gt;"Vacant",$M361="",OR($K361&lt;&gt;"",$G361="Occupied")),"Yes","No"))</f>
        <v/>
      </c>
      <c r="M361" s="45" t="n"/>
      <c r="N361" s="24">
        <f>IF($B361="","",IF($G361="Vacant","Vacant",IF(L361="Yes","MTM",IF(M361="","",M361))))</f>
        <v/>
      </c>
      <c r="O361" s="9" t="n"/>
    </row>
    <row r="362">
      <c r="A362" s="1" t="n"/>
      <c r="B362" s="9" t="n"/>
      <c r="C362" s="9" t="n"/>
      <c r="D362" s="14" t="n"/>
      <c r="E362" s="56" t="n"/>
      <c r="F362" s="19" t="n"/>
      <c r="G362" s="9" t="n"/>
      <c r="H362" s="10" t="n"/>
      <c r="I362" s="80">
        <f>IF($F362&gt;0,$H362/$F362,"")</f>
        <v/>
      </c>
      <c r="J362" s="10" t="n"/>
      <c r="K362" s="45" t="n"/>
      <c r="L362" s="9">
        <f>IF($B362="","",IF(AND($G362&lt;&gt;"Vacant",$M362="",OR($K362&lt;&gt;"",$G362="Occupied")),"Yes","No"))</f>
        <v/>
      </c>
      <c r="M362" s="45" t="n"/>
      <c r="N362" s="24">
        <f>IF($B362="","",IF($G362="Vacant","Vacant",IF(L362="Yes","MTM",IF(M362="","",M362))))</f>
        <v/>
      </c>
      <c r="O362" s="9" t="n"/>
    </row>
    <row r="363">
      <c r="A363" s="1" t="n"/>
      <c r="B363" s="9" t="n"/>
      <c r="C363" s="9" t="n"/>
      <c r="D363" s="14" t="n"/>
      <c r="E363" s="56" t="n"/>
      <c r="F363" s="19" t="n"/>
      <c r="G363" s="9" t="n"/>
      <c r="H363" s="10" t="n"/>
      <c r="I363" s="80">
        <f>IF($F363&gt;0,$H363/$F363,"")</f>
        <v/>
      </c>
      <c r="J363" s="10" t="n"/>
      <c r="K363" s="45" t="n"/>
      <c r="L363" s="9">
        <f>IF($B363="","",IF(AND($G363&lt;&gt;"Vacant",$M363="",OR($K363&lt;&gt;"",$G363="Occupied")),"Yes","No"))</f>
        <v/>
      </c>
      <c r="M363" s="45" t="n"/>
      <c r="N363" s="24">
        <f>IF($B363="","",IF($G363="Vacant","Vacant",IF(L363="Yes","MTM",IF(M363="","",M363))))</f>
        <v/>
      </c>
      <c r="O363" s="9" t="n"/>
    </row>
    <row r="364">
      <c r="A364" s="1" t="n"/>
      <c r="B364" s="9" t="n"/>
      <c r="C364" s="9" t="n"/>
      <c r="D364" s="14" t="n"/>
      <c r="E364" s="56" t="n"/>
      <c r="F364" s="19" t="n"/>
      <c r="G364" s="9" t="n"/>
      <c r="H364" s="10" t="n"/>
      <c r="I364" s="80">
        <f>IF($F364&gt;0,$H364/$F364,"")</f>
        <v/>
      </c>
      <c r="J364" s="10" t="n"/>
      <c r="K364" s="45" t="n"/>
      <c r="L364" s="9">
        <f>IF($B364="","",IF(AND($G364&lt;&gt;"Vacant",$M364="",OR($K364&lt;&gt;"",$G364="Occupied")),"Yes","No"))</f>
        <v/>
      </c>
      <c r="M364" s="45" t="n"/>
      <c r="N364" s="24">
        <f>IF($B364="","",IF($G364="Vacant","Vacant",IF(L364="Yes","MTM",IF(M364="","",M364))))</f>
        <v/>
      </c>
      <c r="O364" s="9" t="n"/>
    </row>
    <row r="365">
      <c r="A365" s="1" t="n"/>
      <c r="B365" s="9" t="n"/>
      <c r="C365" s="9" t="n"/>
      <c r="D365" s="14" t="n"/>
      <c r="E365" s="56" t="n"/>
      <c r="F365" s="19" t="n"/>
      <c r="G365" s="9" t="n"/>
      <c r="H365" s="10" t="n"/>
      <c r="I365" s="80">
        <f>IF($F365&gt;0,$H365/$F365,"")</f>
        <v/>
      </c>
      <c r="J365" s="10" t="n"/>
      <c r="K365" s="45" t="n"/>
      <c r="L365" s="9">
        <f>IF($B365="","",IF(AND($G365&lt;&gt;"Vacant",$M365="",OR($K365&lt;&gt;"",$G365="Occupied")),"Yes","No"))</f>
        <v/>
      </c>
      <c r="M365" s="45" t="n"/>
      <c r="N365" s="24">
        <f>IF($B365="","",IF($G365="Vacant","Vacant",IF(L365="Yes","MTM",IF(M365="","",M365))))</f>
        <v/>
      </c>
      <c r="O365" s="9" t="n"/>
    </row>
    <row r="366">
      <c r="A366" s="1" t="n"/>
      <c r="B366" s="9" t="n"/>
      <c r="C366" s="9" t="n"/>
      <c r="D366" s="14" t="n"/>
      <c r="E366" s="56" t="n"/>
      <c r="F366" s="19" t="n"/>
      <c r="G366" s="9" t="n"/>
      <c r="H366" s="10" t="n"/>
      <c r="I366" s="80">
        <f>IF($F366&gt;0,$H366/$F366,"")</f>
        <v/>
      </c>
      <c r="J366" s="10" t="n"/>
      <c r="K366" s="45" t="n"/>
      <c r="L366" s="9">
        <f>IF($B366="","",IF(AND($G366&lt;&gt;"Vacant",$M366="",OR($K366&lt;&gt;"",$G366="Occupied")),"Yes","No"))</f>
        <v/>
      </c>
      <c r="M366" s="45" t="n"/>
      <c r="N366" s="24">
        <f>IF($B366="","",IF($G366="Vacant","Vacant",IF(L366="Yes","MTM",IF(M366="","",M366))))</f>
        <v/>
      </c>
      <c r="O366" s="9" t="n"/>
    </row>
    <row r="367">
      <c r="A367" s="1" t="n"/>
      <c r="B367" s="9" t="n"/>
      <c r="C367" s="9" t="n"/>
      <c r="D367" s="14" t="n"/>
      <c r="E367" s="56" t="n"/>
      <c r="F367" s="19" t="n"/>
      <c r="G367" s="9" t="n"/>
      <c r="H367" s="10" t="n"/>
      <c r="I367" s="80">
        <f>IF($F367&gt;0,$H367/$F367,"")</f>
        <v/>
      </c>
      <c r="J367" s="10" t="n"/>
      <c r="K367" s="45" t="n"/>
      <c r="L367" s="9">
        <f>IF($B367="","",IF(AND($G367&lt;&gt;"Vacant",$M367="",OR($K367&lt;&gt;"",$G367="Occupied")),"Yes","No"))</f>
        <v/>
      </c>
      <c r="M367" s="45" t="n"/>
      <c r="N367" s="24">
        <f>IF($B367="","",IF($G367="Vacant","Vacant",IF(L367="Yes","MTM",IF(M367="","",M367))))</f>
        <v/>
      </c>
      <c r="O367" s="9" t="n"/>
    </row>
    <row r="368">
      <c r="A368" s="1" t="n"/>
      <c r="B368" s="9" t="n"/>
      <c r="C368" s="9" t="n"/>
      <c r="D368" s="14" t="n"/>
      <c r="E368" s="56" t="n"/>
      <c r="F368" s="19" t="n"/>
      <c r="G368" s="9" t="n"/>
      <c r="H368" s="10" t="n"/>
      <c r="I368" s="80">
        <f>IF($F368&gt;0,$H368/$F368,"")</f>
        <v/>
      </c>
      <c r="J368" s="10" t="n"/>
      <c r="K368" s="45" t="n"/>
      <c r="L368" s="9">
        <f>IF($B368="","",IF(AND($G368&lt;&gt;"Vacant",$M368="",OR($K368&lt;&gt;"",$G368="Occupied")),"Yes","No"))</f>
        <v/>
      </c>
      <c r="M368" s="45" t="n"/>
      <c r="N368" s="24">
        <f>IF($B368="","",IF($G368="Vacant","Vacant",IF(L368="Yes","MTM",IF(M368="","",M368))))</f>
        <v/>
      </c>
      <c r="O368" s="9" t="n"/>
    </row>
    <row r="369">
      <c r="A369" s="1" t="n"/>
      <c r="B369" s="9" t="n"/>
      <c r="C369" s="9" t="n"/>
      <c r="D369" s="14" t="n"/>
      <c r="E369" s="56" t="n"/>
      <c r="F369" s="19" t="n"/>
      <c r="G369" s="9" t="n"/>
      <c r="H369" s="10" t="n"/>
      <c r="I369" s="80">
        <f>IF($F369&gt;0,$H369/$F369,"")</f>
        <v/>
      </c>
      <c r="J369" s="10" t="n"/>
      <c r="K369" s="45" t="n"/>
      <c r="L369" s="9">
        <f>IF($B369="","",IF(AND($G369&lt;&gt;"Vacant",$M369="",OR($K369&lt;&gt;"",$G369="Occupied")),"Yes","No"))</f>
        <v/>
      </c>
      <c r="M369" s="45" t="n"/>
      <c r="N369" s="24">
        <f>IF($B369="","",IF($G369="Vacant","Vacant",IF(L369="Yes","MTM",IF(M369="","",M369))))</f>
        <v/>
      </c>
      <c r="O369" s="9" t="n"/>
    </row>
    <row r="370">
      <c r="A370" s="1" t="n"/>
      <c r="B370" s="9" t="n"/>
      <c r="C370" s="9" t="n"/>
      <c r="D370" s="14" t="n"/>
      <c r="E370" s="56" t="n"/>
      <c r="F370" s="19" t="n"/>
      <c r="G370" s="9" t="n"/>
      <c r="H370" s="10" t="n"/>
      <c r="I370" s="80">
        <f>IF($F370&gt;0,$H370/$F370,"")</f>
        <v/>
      </c>
      <c r="J370" s="10" t="n"/>
      <c r="K370" s="45" t="n"/>
      <c r="L370" s="9">
        <f>IF($B370="","",IF(AND($G370&lt;&gt;"Vacant",$M370="",OR($K370&lt;&gt;"",$G370="Occupied")),"Yes","No"))</f>
        <v/>
      </c>
      <c r="M370" s="45" t="n"/>
      <c r="N370" s="24">
        <f>IF($B370="","",IF($G370="Vacant","Vacant",IF(L370="Yes","MTM",IF(M370="","",M370))))</f>
        <v/>
      </c>
      <c r="O370" s="9" t="n"/>
    </row>
    <row r="371">
      <c r="A371" s="1" t="n"/>
      <c r="B371" s="9" t="n"/>
      <c r="C371" s="9" t="n"/>
      <c r="D371" s="14" t="n"/>
      <c r="E371" s="56" t="n"/>
      <c r="F371" s="19" t="n"/>
      <c r="G371" s="9" t="n"/>
      <c r="H371" s="10" t="n"/>
      <c r="I371" s="80">
        <f>IF($F371&gt;0,$H371/$F371,"")</f>
        <v/>
      </c>
      <c r="J371" s="10" t="n"/>
      <c r="K371" s="45" t="n"/>
      <c r="L371" s="9">
        <f>IF($B371="","",IF(AND($G371&lt;&gt;"Vacant",$M371="",OR($K371&lt;&gt;"",$G371="Occupied")),"Yes","No"))</f>
        <v/>
      </c>
      <c r="M371" s="45" t="n"/>
      <c r="N371" s="24">
        <f>IF($B371="","",IF($G371="Vacant","Vacant",IF(L371="Yes","MTM",IF(M371="","",M371))))</f>
        <v/>
      </c>
      <c r="O371" s="9" t="n"/>
    </row>
    <row r="372">
      <c r="A372" s="1" t="n"/>
      <c r="B372" s="9" t="n"/>
      <c r="C372" s="9" t="n"/>
      <c r="D372" s="14" t="n"/>
      <c r="E372" s="56" t="n"/>
      <c r="F372" s="19" t="n"/>
      <c r="G372" s="9" t="n"/>
      <c r="H372" s="10" t="n"/>
      <c r="I372" s="80">
        <f>IF($F372&gt;0,$H372/$F372,"")</f>
        <v/>
      </c>
      <c r="J372" s="10" t="n"/>
      <c r="K372" s="45" t="n"/>
      <c r="L372" s="9">
        <f>IF($B372="","",IF(AND($G372&lt;&gt;"Vacant",$M372="",OR($K372&lt;&gt;"",$G372="Occupied")),"Yes","No"))</f>
        <v/>
      </c>
      <c r="M372" s="45" t="n"/>
      <c r="N372" s="24">
        <f>IF($B372="","",IF($G372="Vacant","Vacant",IF(L372="Yes","MTM",IF(M372="","",M372))))</f>
        <v/>
      </c>
      <c r="O372" s="9" t="n"/>
    </row>
    <row r="373">
      <c r="A373" s="1" t="n"/>
      <c r="B373" s="9" t="n"/>
      <c r="C373" s="9" t="n"/>
      <c r="D373" s="14" t="n"/>
      <c r="E373" s="56" t="n"/>
      <c r="F373" s="19" t="n"/>
      <c r="G373" s="9" t="n"/>
      <c r="H373" s="10" t="n"/>
      <c r="I373" s="80">
        <f>IF($F373&gt;0,$H373/$F373,"")</f>
        <v/>
      </c>
      <c r="J373" s="10" t="n"/>
      <c r="K373" s="45" t="n"/>
      <c r="L373" s="9">
        <f>IF($B373="","",IF(AND($G373&lt;&gt;"Vacant",$M373="",OR($K373&lt;&gt;"",$G373="Occupied")),"Yes","No"))</f>
        <v/>
      </c>
      <c r="M373" s="45" t="n"/>
      <c r="N373" s="24">
        <f>IF($B373="","",IF($G373="Vacant","Vacant",IF(L373="Yes","MTM",IF(M373="","",M373))))</f>
        <v/>
      </c>
      <c r="O373" s="9" t="n"/>
    </row>
    <row r="374">
      <c r="A374" s="1" t="n"/>
      <c r="B374" s="9" t="n"/>
      <c r="C374" s="9" t="n"/>
      <c r="D374" s="14" t="n"/>
      <c r="E374" s="56" t="n"/>
      <c r="F374" s="19" t="n"/>
      <c r="G374" s="9" t="n"/>
      <c r="H374" s="10" t="n"/>
      <c r="I374" s="80">
        <f>IF($F374&gt;0,$H374/$F374,"")</f>
        <v/>
      </c>
      <c r="J374" s="10" t="n"/>
      <c r="K374" s="45" t="n"/>
      <c r="L374" s="9">
        <f>IF($B374="","",IF(AND($G374&lt;&gt;"Vacant",$M374="",OR($K374&lt;&gt;"",$G374="Occupied")),"Yes","No"))</f>
        <v/>
      </c>
      <c r="M374" s="45" t="n"/>
      <c r="N374" s="24">
        <f>IF($B374="","",IF($G374="Vacant","Vacant",IF(L374="Yes","MTM",IF(M374="","",M374))))</f>
        <v/>
      </c>
      <c r="O374" s="9" t="n"/>
    </row>
    <row r="375">
      <c r="A375" s="1" t="n"/>
      <c r="B375" s="9" t="n"/>
      <c r="C375" s="9" t="n"/>
      <c r="D375" s="14" t="n"/>
      <c r="E375" s="56" t="n"/>
      <c r="F375" s="19" t="n"/>
      <c r="G375" s="9" t="n"/>
      <c r="H375" s="10" t="n"/>
      <c r="I375" s="80">
        <f>IF($F375&gt;0,$H375/$F375,"")</f>
        <v/>
      </c>
      <c r="J375" s="10" t="n"/>
      <c r="K375" s="45" t="n"/>
      <c r="L375" s="9">
        <f>IF($B375="","",IF(AND($G375&lt;&gt;"Vacant",$M375="",OR($K375&lt;&gt;"",$G375="Occupied")),"Yes","No"))</f>
        <v/>
      </c>
      <c r="M375" s="45" t="n"/>
      <c r="N375" s="24">
        <f>IF($B375="","",IF($G375="Vacant","Vacant",IF(L375="Yes","MTM",IF(M375="","",M375))))</f>
        <v/>
      </c>
      <c r="O375" s="9" t="n"/>
    </row>
    <row r="376">
      <c r="A376" s="1" t="n"/>
      <c r="B376" s="9" t="n"/>
      <c r="C376" s="9" t="n"/>
      <c r="D376" s="14" t="n"/>
      <c r="E376" s="56" t="n"/>
      <c r="F376" s="19" t="n"/>
      <c r="G376" s="9" t="n"/>
      <c r="H376" s="10" t="n"/>
      <c r="I376" s="80">
        <f>IF($F376&gt;0,$H376/$F376,"")</f>
        <v/>
      </c>
      <c r="J376" s="10" t="n"/>
      <c r="K376" s="45" t="n"/>
      <c r="L376" s="9">
        <f>IF($B376="","",IF(AND($G376&lt;&gt;"Vacant",$M376="",OR($K376&lt;&gt;"",$G376="Occupied")),"Yes","No"))</f>
        <v/>
      </c>
      <c r="M376" s="45" t="n"/>
      <c r="N376" s="24">
        <f>IF($B376="","",IF($G376="Vacant","Vacant",IF(L376="Yes","MTM",IF(M376="","",M376))))</f>
        <v/>
      </c>
      <c r="O376" s="9" t="n"/>
    </row>
    <row r="377">
      <c r="A377" s="1" t="n"/>
      <c r="B377" s="9" t="n"/>
      <c r="C377" s="9" t="n"/>
      <c r="D377" s="14" t="n"/>
      <c r="E377" s="56" t="n"/>
      <c r="F377" s="19" t="n"/>
      <c r="G377" s="9" t="n"/>
      <c r="H377" s="10" t="n"/>
      <c r="I377" s="80">
        <f>IF($F377&gt;0,$H377/$F377,"")</f>
        <v/>
      </c>
      <c r="J377" s="10" t="n"/>
      <c r="K377" s="45" t="n"/>
      <c r="L377" s="9">
        <f>IF($B377="","",IF(AND($G377&lt;&gt;"Vacant",$M377="",OR($K377&lt;&gt;"",$G377="Occupied")),"Yes","No"))</f>
        <v/>
      </c>
      <c r="M377" s="45" t="n"/>
      <c r="N377" s="24">
        <f>IF($B377="","",IF($G377="Vacant","Vacant",IF(L377="Yes","MTM",IF(M377="","",M377))))</f>
        <v/>
      </c>
      <c r="O377" s="9" t="n"/>
    </row>
    <row r="378">
      <c r="A378" s="1" t="n"/>
      <c r="B378" s="9" t="n"/>
      <c r="C378" s="9" t="n"/>
      <c r="D378" s="14" t="n"/>
      <c r="E378" s="56" t="n"/>
      <c r="F378" s="19" t="n"/>
      <c r="G378" s="9" t="n"/>
      <c r="H378" s="10" t="n"/>
      <c r="I378" s="80">
        <f>IF($F378&gt;0,$H378/$F378,"")</f>
        <v/>
      </c>
      <c r="J378" s="10" t="n"/>
      <c r="K378" s="45" t="n"/>
      <c r="L378" s="9">
        <f>IF($B378="","",IF(AND($G378&lt;&gt;"Vacant",$M378="",OR($K378&lt;&gt;"",$G378="Occupied")),"Yes","No"))</f>
        <v/>
      </c>
      <c r="M378" s="45" t="n"/>
      <c r="N378" s="24">
        <f>IF($B378="","",IF($G378="Vacant","Vacant",IF(L378="Yes","MTM",IF(M378="","",M378))))</f>
        <v/>
      </c>
      <c r="O378" s="9" t="n"/>
    </row>
    <row r="379">
      <c r="A379" s="1" t="n"/>
      <c r="B379" s="9" t="n"/>
      <c r="C379" s="9" t="n"/>
      <c r="D379" s="14" t="n"/>
      <c r="E379" s="56" t="n"/>
      <c r="F379" s="19" t="n"/>
      <c r="G379" s="9" t="n"/>
      <c r="H379" s="10" t="n"/>
      <c r="I379" s="80">
        <f>IF($F379&gt;0,$H379/$F379,"")</f>
        <v/>
      </c>
      <c r="J379" s="10" t="n"/>
      <c r="K379" s="45" t="n"/>
      <c r="L379" s="9">
        <f>IF($B379="","",IF(AND($G379&lt;&gt;"Vacant",$M379="",OR($K379&lt;&gt;"",$G379="Occupied")),"Yes","No"))</f>
        <v/>
      </c>
      <c r="M379" s="45" t="n"/>
      <c r="N379" s="24">
        <f>IF($B379="","",IF($G379="Vacant","Vacant",IF(L379="Yes","MTM",IF(M379="","",M379))))</f>
        <v/>
      </c>
      <c r="O379" s="9" t="n"/>
    </row>
    <row r="380">
      <c r="A380" s="1" t="n"/>
      <c r="B380" s="9" t="n"/>
      <c r="C380" s="9" t="n"/>
      <c r="D380" s="14" t="n"/>
      <c r="E380" s="56" t="n"/>
      <c r="F380" s="19" t="n"/>
      <c r="G380" s="9" t="n"/>
      <c r="H380" s="10" t="n"/>
      <c r="I380" s="80">
        <f>IF($F380&gt;0,$H380/$F380,"")</f>
        <v/>
      </c>
      <c r="J380" s="10" t="n"/>
      <c r="K380" s="45" t="n"/>
      <c r="L380" s="9">
        <f>IF($B380="","",IF(AND($G380&lt;&gt;"Vacant",$M380="",OR($K380&lt;&gt;"",$G380="Occupied")),"Yes","No"))</f>
        <v/>
      </c>
      <c r="M380" s="45" t="n"/>
      <c r="N380" s="24">
        <f>IF($B380="","",IF($G380="Vacant","Vacant",IF(L380="Yes","MTM",IF(M380="","",M380))))</f>
        <v/>
      </c>
      <c r="O380" s="9" t="n"/>
    </row>
    <row r="381">
      <c r="A381" s="1" t="n"/>
      <c r="B381" s="9" t="n"/>
      <c r="C381" s="9" t="n"/>
      <c r="D381" s="14" t="n"/>
      <c r="E381" s="56" t="n"/>
      <c r="F381" s="19" t="n"/>
      <c r="G381" s="9" t="n"/>
      <c r="H381" s="10" t="n"/>
      <c r="I381" s="80">
        <f>IF($F381&gt;0,$H381/$F381,"")</f>
        <v/>
      </c>
      <c r="J381" s="10" t="n"/>
      <c r="K381" s="45" t="n"/>
      <c r="L381" s="9">
        <f>IF($B381="","",IF(AND($G381&lt;&gt;"Vacant",$M381="",OR($K381&lt;&gt;"",$G381="Occupied")),"Yes","No"))</f>
        <v/>
      </c>
      <c r="M381" s="45" t="n"/>
      <c r="N381" s="24">
        <f>IF($B381="","",IF($G381="Vacant","Vacant",IF(L381="Yes","MTM",IF(M381="","",M381))))</f>
        <v/>
      </c>
      <c r="O381" s="9" t="n"/>
    </row>
    <row r="382">
      <c r="A382" s="1" t="n"/>
      <c r="B382" s="9" t="n"/>
      <c r="C382" s="9" t="n"/>
      <c r="D382" s="14" t="n"/>
      <c r="E382" s="56" t="n"/>
      <c r="F382" s="19" t="n"/>
      <c r="G382" s="9" t="n"/>
      <c r="H382" s="10" t="n"/>
      <c r="I382" s="80">
        <f>IF($F382&gt;0,$H382/$F382,"")</f>
        <v/>
      </c>
      <c r="J382" s="10" t="n"/>
      <c r="K382" s="45" t="n"/>
      <c r="L382" s="9">
        <f>IF($B382="","",IF(AND($G382&lt;&gt;"Vacant",$M382="",OR($K382&lt;&gt;"",$G382="Occupied")),"Yes","No"))</f>
        <v/>
      </c>
      <c r="M382" s="45" t="n"/>
      <c r="N382" s="24">
        <f>IF($B382="","",IF($G382="Vacant","Vacant",IF(L382="Yes","MTM",IF(M382="","",M382))))</f>
        <v/>
      </c>
      <c r="O382" s="9" t="n"/>
    </row>
    <row r="383">
      <c r="A383" s="1" t="n"/>
      <c r="B383" s="9" t="n"/>
      <c r="C383" s="9" t="n"/>
      <c r="D383" s="14" t="n"/>
      <c r="E383" s="56" t="n"/>
      <c r="F383" s="19" t="n"/>
      <c r="G383" s="9" t="n"/>
      <c r="H383" s="10" t="n"/>
      <c r="I383" s="80">
        <f>IF($F383&gt;0,$H383/$F383,"")</f>
        <v/>
      </c>
      <c r="J383" s="10" t="n"/>
      <c r="K383" s="45" t="n"/>
      <c r="L383" s="9">
        <f>IF($B383="","",IF(AND($G383&lt;&gt;"Vacant",$M383="",OR($K383&lt;&gt;"",$G383="Occupied")),"Yes","No"))</f>
        <v/>
      </c>
      <c r="M383" s="45" t="n"/>
      <c r="N383" s="24">
        <f>IF($B383="","",IF($G383="Vacant","Vacant",IF(L383="Yes","MTM",IF(M383="","",M383))))</f>
        <v/>
      </c>
      <c r="O383" s="9" t="n"/>
    </row>
    <row r="384">
      <c r="A384" s="1" t="n"/>
      <c r="B384" s="9" t="n"/>
      <c r="C384" s="9" t="n"/>
      <c r="D384" s="14" t="n"/>
      <c r="E384" s="56" t="n"/>
      <c r="F384" s="19" t="n"/>
      <c r="G384" s="9" t="n"/>
      <c r="H384" s="10" t="n"/>
      <c r="I384" s="80">
        <f>IF($F384&gt;0,$H384/$F384,"")</f>
        <v/>
      </c>
      <c r="J384" s="10" t="n"/>
      <c r="K384" s="45" t="n"/>
      <c r="L384" s="9">
        <f>IF($B384="","",IF(AND($G384&lt;&gt;"Vacant",$M384="",OR($K384&lt;&gt;"",$G384="Occupied")),"Yes","No"))</f>
        <v/>
      </c>
      <c r="M384" s="45" t="n"/>
      <c r="N384" s="24">
        <f>IF($B384="","",IF($G384="Vacant","Vacant",IF(L384="Yes","MTM",IF(M384="","",M384))))</f>
        <v/>
      </c>
      <c r="O384" s="9" t="n"/>
    </row>
    <row r="385">
      <c r="A385" s="1" t="n"/>
      <c r="B385" s="9" t="n"/>
      <c r="C385" s="9" t="n"/>
      <c r="D385" s="14" t="n"/>
      <c r="E385" s="56" t="n"/>
      <c r="F385" s="19" t="n"/>
      <c r="G385" s="9" t="n"/>
      <c r="H385" s="10" t="n"/>
      <c r="I385" s="80">
        <f>IF($F385&gt;0,$H385/$F385,"")</f>
        <v/>
      </c>
      <c r="J385" s="10" t="n"/>
      <c r="K385" s="45" t="n"/>
      <c r="L385" s="9">
        <f>IF($B385="","",IF(AND($G385&lt;&gt;"Vacant",$M385="",OR($K385&lt;&gt;"",$G385="Occupied")),"Yes","No"))</f>
        <v/>
      </c>
      <c r="M385" s="45" t="n"/>
      <c r="N385" s="24">
        <f>IF($B385="","",IF($G385="Vacant","Vacant",IF(L385="Yes","MTM",IF(M385="","",M385))))</f>
        <v/>
      </c>
      <c r="O385" s="9" t="n"/>
    </row>
    <row r="386">
      <c r="A386" s="1" t="n"/>
      <c r="B386" s="9" t="n"/>
      <c r="C386" s="9" t="n"/>
      <c r="D386" s="14" t="n"/>
      <c r="E386" s="56" t="n"/>
      <c r="F386" s="19" t="n"/>
      <c r="G386" s="9" t="n"/>
      <c r="H386" s="10" t="n"/>
      <c r="I386" s="80">
        <f>IF($F386&gt;0,$H386/$F386,"")</f>
        <v/>
      </c>
      <c r="J386" s="10" t="n"/>
      <c r="K386" s="45" t="n"/>
      <c r="L386" s="9">
        <f>IF($B386="","",IF(AND($G386&lt;&gt;"Vacant",$M386="",OR($K386&lt;&gt;"",$G386="Occupied")),"Yes","No"))</f>
        <v/>
      </c>
      <c r="M386" s="45" t="n"/>
      <c r="N386" s="24">
        <f>IF($B386="","",IF($G386="Vacant","Vacant",IF(L386="Yes","MTM",IF(M386="","",M386))))</f>
        <v/>
      </c>
      <c r="O386" s="9" t="n"/>
    </row>
    <row r="387">
      <c r="A387" s="1" t="n"/>
      <c r="B387" s="9" t="n"/>
      <c r="C387" s="9" t="n"/>
      <c r="D387" s="14" t="n"/>
      <c r="E387" s="56" t="n"/>
      <c r="F387" s="19" t="n"/>
      <c r="G387" s="9" t="n"/>
      <c r="H387" s="10" t="n"/>
      <c r="I387" s="80">
        <f>IF($F387&gt;0,$H387/$F387,"")</f>
        <v/>
      </c>
      <c r="J387" s="10" t="n"/>
      <c r="K387" s="45" t="n"/>
      <c r="L387" s="9">
        <f>IF($B387="","",IF(AND($G387&lt;&gt;"Vacant",$M387="",OR($K387&lt;&gt;"",$G387="Occupied")),"Yes","No"))</f>
        <v/>
      </c>
      <c r="M387" s="45" t="n"/>
      <c r="N387" s="24">
        <f>IF($B387="","",IF($G387="Vacant","Vacant",IF(L387="Yes","MTM",IF(M387="","",M387))))</f>
        <v/>
      </c>
      <c r="O387" s="9" t="n"/>
    </row>
    <row r="388">
      <c r="A388" s="1" t="n"/>
      <c r="B388" s="9" t="n"/>
      <c r="C388" s="9" t="n"/>
      <c r="D388" s="14" t="n"/>
      <c r="E388" s="56" t="n"/>
      <c r="F388" s="19" t="n"/>
      <c r="G388" s="9" t="n"/>
      <c r="H388" s="10" t="n"/>
      <c r="I388" s="80">
        <f>IF($F388&gt;0,$H388/$F388,"")</f>
        <v/>
      </c>
      <c r="J388" s="10" t="n"/>
      <c r="K388" s="45" t="n"/>
      <c r="L388" s="9">
        <f>IF($B388="","",IF(AND($G388&lt;&gt;"Vacant",$M388="",OR($K388&lt;&gt;"",$G388="Occupied")),"Yes","No"))</f>
        <v/>
      </c>
      <c r="M388" s="45" t="n"/>
      <c r="N388" s="24">
        <f>IF($B388="","",IF($G388="Vacant","Vacant",IF(L388="Yes","MTM",IF(M388="","",M388))))</f>
        <v/>
      </c>
      <c r="O388" s="9" t="n"/>
    </row>
    <row r="389">
      <c r="A389" s="1" t="n"/>
      <c r="B389" s="9" t="n"/>
      <c r="C389" s="9" t="n"/>
      <c r="D389" s="14" t="n"/>
      <c r="E389" s="56" t="n"/>
      <c r="F389" s="19" t="n"/>
      <c r="G389" s="9" t="n"/>
      <c r="H389" s="10" t="n"/>
      <c r="I389" s="80">
        <f>IF($F389&gt;0,$H389/$F389,"")</f>
        <v/>
      </c>
      <c r="J389" s="10" t="n"/>
      <c r="K389" s="45" t="n"/>
      <c r="L389" s="9">
        <f>IF($B389="","",IF(AND($G389&lt;&gt;"Vacant",$M389="",OR($K389&lt;&gt;"",$G389="Occupied")),"Yes","No"))</f>
        <v/>
      </c>
      <c r="M389" s="45" t="n"/>
      <c r="N389" s="24">
        <f>IF($B389="","",IF($G389="Vacant","Vacant",IF(L389="Yes","MTM",IF(M389="","",M389))))</f>
        <v/>
      </c>
      <c r="O389" s="9" t="n"/>
    </row>
    <row r="390">
      <c r="A390" s="1" t="n"/>
      <c r="B390" s="9" t="n"/>
      <c r="C390" s="9" t="n"/>
      <c r="D390" s="14" t="n"/>
      <c r="E390" s="56" t="n"/>
      <c r="F390" s="19" t="n"/>
      <c r="G390" s="9" t="n"/>
      <c r="H390" s="10" t="n"/>
      <c r="I390" s="80">
        <f>IF($F390&gt;0,$H390/$F390,"")</f>
        <v/>
      </c>
      <c r="J390" s="10" t="n"/>
      <c r="K390" s="45" t="n"/>
      <c r="L390" s="9">
        <f>IF($B390="","",IF(AND($G390&lt;&gt;"Vacant",$M390="",OR($K390&lt;&gt;"",$G390="Occupied")),"Yes","No"))</f>
        <v/>
      </c>
      <c r="M390" s="45" t="n"/>
      <c r="N390" s="24">
        <f>IF($B390="","",IF($G390="Vacant","Vacant",IF(L390="Yes","MTM",IF(M390="","",M390))))</f>
        <v/>
      </c>
      <c r="O390" s="9" t="n"/>
    </row>
    <row r="391">
      <c r="A391" s="1" t="n"/>
      <c r="B391" s="9" t="n"/>
      <c r="C391" s="9" t="n"/>
      <c r="D391" s="14" t="n"/>
      <c r="E391" s="56" t="n"/>
      <c r="F391" s="19" t="n"/>
      <c r="G391" s="9" t="n"/>
      <c r="H391" s="10" t="n"/>
      <c r="I391" s="80">
        <f>IF($F391&gt;0,$H391/$F391,"")</f>
        <v/>
      </c>
      <c r="J391" s="10" t="n"/>
      <c r="K391" s="45" t="n"/>
      <c r="L391" s="9">
        <f>IF($B391="","",IF(AND($G391&lt;&gt;"Vacant",$M391="",OR($K391&lt;&gt;"",$G391="Occupied")),"Yes","No"))</f>
        <v/>
      </c>
      <c r="M391" s="45" t="n"/>
      <c r="N391" s="24">
        <f>IF($B391="","",IF($G391="Vacant","Vacant",IF(L391="Yes","MTM",IF(M391="","",M391))))</f>
        <v/>
      </c>
      <c r="O391" s="9" t="n"/>
    </row>
    <row r="392">
      <c r="A392" s="1" t="n"/>
      <c r="B392" s="9" t="n"/>
      <c r="C392" s="9" t="n"/>
      <c r="D392" s="14" t="n"/>
      <c r="E392" s="56" t="n"/>
      <c r="F392" s="19" t="n"/>
      <c r="G392" s="9" t="n"/>
      <c r="H392" s="10" t="n"/>
      <c r="I392" s="80">
        <f>IF($F392&gt;0,$H392/$F392,"")</f>
        <v/>
      </c>
      <c r="J392" s="10" t="n"/>
      <c r="K392" s="45" t="n"/>
      <c r="L392" s="9">
        <f>IF($B392="","",IF(AND($G392&lt;&gt;"Vacant",$M392="",OR($K392&lt;&gt;"",$G392="Occupied")),"Yes","No"))</f>
        <v/>
      </c>
      <c r="M392" s="45" t="n"/>
      <c r="N392" s="24">
        <f>IF($B392="","",IF($G392="Vacant","Vacant",IF(L392="Yes","MTM",IF(M392="","",M392))))</f>
        <v/>
      </c>
      <c r="O392" s="9" t="n"/>
    </row>
    <row r="393">
      <c r="A393" s="1" t="n"/>
      <c r="B393" s="9" t="n"/>
      <c r="C393" s="9" t="n"/>
      <c r="D393" s="14" t="n"/>
      <c r="E393" s="56" t="n"/>
      <c r="F393" s="19" t="n"/>
      <c r="G393" s="9" t="n"/>
      <c r="H393" s="10" t="n"/>
      <c r="I393" s="80">
        <f>IF($F393&gt;0,$H393/$F393,"")</f>
        <v/>
      </c>
      <c r="J393" s="10" t="n"/>
      <c r="K393" s="45" t="n"/>
      <c r="L393" s="9">
        <f>IF($B393="","",IF(AND($G393&lt;&gt;"Vacant",$M393="",OR($K393&lt;&gt;"",$G393="Occupied")),"Yes","No"))</f>
        <v/>
      </c>
      <c r="M393" s="45" t="n"/>
      <c r="N393" s="24">
        <f>IF($B393="","",IF($G393="Vacant","Vacant",IF(L393="Yes","MTM",IF(M393="","",M393))))</f>
        <v/>
      </c>
      <c r="O393" s="9" t="n"/>
    </row>
    <row r="394">
      <c r="A394" s="1" t="n"/>
      <c r="B394" s="9" t="n"/>
      <c r="C394" s="9" t="n"/>
      <c r="D394" s="14" t="n"/>
      <c r="E394" s="56" t="n"/>
      <c r="F394" s="19" t="n"/>
      <c r="G394" s="9" t="n"/>
      <c r="H394" s="10" t="n"/>
      <c r="I394" s="80">
        <f>IF($F394&gt;0,$H394/$F394,"")</f>
        <v/>
      </c>
      <c r="J394" s="10" t="n"/>
      <c r="K394" s="45" t="n"/>
      <c r="L394" s="9">
        <f>IF($B394="","",IF(AND($G394&lt;&gt;"Vacant",$M394="",OR($K394&lt;&gt;"",$G394="Occupied")),"Yes","No"))</f>
        <v/>
      </c>
      <c r="M394" s="45" t="n"/>
      <c r="N394" s="24">
        <f>IF($B394="","",IF($G394="Vacant","Vacant",IF(L394="Yes","MTM",IF(M394="","",M394))))</f>
        <v/>
      </c>
      <c r="O394" s="9" t="n"/>
    </row>
    <row r="395">
      <c r="A395" s="1" t="n"/>
      <c r="B395" s="9" t="n"/>
      <c r="C395" s="9" t="n"/>
      <c r="D395" s="14" t="n"/>
      <c r="E395" s="56" t="n"/>
      <c r="F395" s="19" t="n"/>
      <c r="G395" s="9" t="n"/>
      <c r="H395" s="10" t="n"/>
      <c r="I395" s="80">
        <f>IF($F395&gt;0,$H395/$F395,"")</f>
        <v/>
      </c>
      <c r="J395" s="10" t="n"/>
      <c r="K395" s="45" t="n"/>
      <c r="L395" s="9">
        <f>IF($B395="","",IF(AND($G395&lt;&gt;"Vacant",$M395="",OR($K395&lt;&gt;"",$G395="Occupied")),"Yes","No"))</f>
        <v/>
      </c>
      <c r="M395" s="45" t="n"/>
      <c r="N395" s="24">
        <f>IF($B395="","",IF($G395="Vacant","Vacant",IF(L395="Yes","MTM",IF(M395="","",M395))))</f>
        <v/>
      </c>
      <c r="O395" s="9" t="n"/>
    </row>
    <row r="396">
      <c r="A396" s="1" t="n"/>
      <c r="B396" s="9" t="n"/>
      <c r="C396" s="9" t="n"/>
      <c r="D396" s="14" t="n"/>
      <c r="E396" s="56" t="n"/>
      <c r="F396" s="19" t="n"/>
      <c r="G396" s="9" t="n"/>
      <c r="H396" s="10" t="n"/>
      <c r="I396" s="80">
        <f>IF($F396&gt;0,$H396/$F396,"")</f>
        <v/>
      </c>
      <c r="J396" s="10" t="n"/>
      <c r="K396" s="45" t="n"/>
      <c r="L396" s="9">
        <f>IF($B396="","",IF(AND($G396&lt;&gt;"Vacant",$M396="",OR($K396&lt;&gt;"",$G396="Occupied")),"Yes","No"))</f>
        <v/>
      </c>
      <c r="M396" s="45" t="n"/>
      <c r="N396" s="24">
        <f>IF($B396="","",IF($G396="Vacant","Vacant",IF(L396="Yes","MTM",IF(M396="","",M396))))</f>
        <v/>
      </c>
      <c r="O396" s="9" t="n"/>
    </row>
    <row r="397">
      <c r="A397" s="1" t="n"/>
      <c r="B397" s="9" t="n"/>
      <c r="C397" s="9" t="n"/>
      <c r="D397" s="14" t="n"/>
      <c r="E397" s="56" t="n"/>
      <c r="F397" s="19" t="n"/>
      <c r="G397" s="9" t="n"/>
      <c r="H397" s="10" t="n"/>
      <c r="I397" s="80">
        <f>IF($F397&gt;0,$H397/$F397,"")</f>
        <v/>
      </c>
      <c r="J397" s="10" t="n"/>
      <c r="K397" s="45" t="n"/>
      <c r="L397" s="9">
        <f>IF($B397="","",IF(AND($G397&lt;&gt;"Vacant",$M397="",OR($K397&lt;&gt;"",$G397="Occupied")),"Yes","No"))</f>
        <v/>
      </c>
      <c r="M397" s="45" t="n"/>
      <c r="N397" s="24">
        <f>IF($B397="","",IF($G397="Vacant","Vacant",IF(L397="Yes","MTM",IF(M397="","",M397))))</f>
        <v/>
      </c>
      <c r="O397" s="9" t="n"/>
    </row>
    <row r="398">
      <c r="A398" s="1" t="n"/>
      <c r="B398" s="9" t="n"/>
      <c r="C398" s="9" t="n"/>
      <c r="D398" s="14" t="n"/>
      <c r="E398" s="56" t="n"/>
      <c r="F398" s="19" t="n"/>
      <c r="G398" s="9" t="n"/>
      <c r="H398" s="10" t="n"/>
      <c r="I398" s="80">
        <f>IF($F398&gt;0,$H398/$F398,"")</f>
        <v/>
      </c>
      <c r="J398" s="10" t="n"/>
      <c r="K398" s="45" t="n"/>
      <c r="L398" s="9">
        <f>IF($B398="","",IF(AND($G398&lt;&gt;"Vacant",$M398="",OR($K398&lt;&gt;"",$G398="Occupied")),"Yes","No"))</f>
        <v/>
      </c>
      <c r="M398" s="45" t="n"/>
      <c r="N398" s="24">
        <f>IF($B398="","",IF($G398="Vacant","Vacant",IF(L398="Yes","MTM",IF(M398="","",M398))))</f>
        <v/>
      </c>
      <c r="O398" s="9" t="n"/>
    </row>
    <row r="399">
      <c r="A399" s="1" t="n"/>
      <c r="B399" s="9" t="n"/>
      <c r="C399" s="9" t="n"/>
      <c r="D399" s="14" t="n"/>
      <c r="E399" s="56" t="n"/>
      <c r="F399" s="19" t="n"/>
      <c r="G399" s="9" t="n"/>
      <c r="H399" s="10" t="n"/>
      <c r="I399" s="80">
        <f>IF($F399&gt;0,$H399/$F399,"")</f>
        <v/>
      </c>
      <c r="J399" s="10" t="n"/>
      <c r="K399" s="45" t="n"/>
      <c r="L399" s="9">
        <f>IF($B399="","",IF(AND($G399&lt;&gt;"Vacant",$M399="",OR($K399&lt;&gt;"",$G399="Occupied")),"Yes","No"))</f>
        <v/>
      </c>
      <c r="M399" s="45" t="n"/>
      <c r="N399" s="24">
        <f>IF($B399="","",IF($G399="Vacant","Vacant",IF(L399="Yes","MTM",IF(M399="","",M399))))</f>
        <v/>
      </c>
      <c r="O399" s="9" t="n"/>
    </row>
    <row r="400">
      <c r="A400" s="1" t="n"/>
      <c r="B400" s="9" t="n"/>
      <c r="C400" s="9" t="n"/>
      <c r="D400" s="14" t="n"/>
      <c r="E400" s="56" t="n"/>
      <c r="F400" s="19" t="n"/>
      <c r="G400" s="9" t="n"/>
      <c r="H400" s="10" t="n"/>
      <c r="I400" s="80">
        <f>IF($F400&gt;0,$H400/$F400,"")</f>
        <v/>
      </c>
      <c r="J400" s="10" t="n"/>
      <c r="K400" s="45" t="n"/>
      <c r="L400" s="9">
        <f>IF($B400="","",IF(AND($G400&lt;&gt;"Vacant",$M400="",OR($K400&lt;&gt;"",$G400="Occupied")),"Yes","No"))</f>
        <v/>
      </c>
      <c r="M400" s="45" t="n"/>
      <c r="N400" s="24">
        <f>IF($B400="","",IF($G400="Vacant","Vacant",IF(L400="Yes","MTM",IF(M400="","",M400))))</f>
        <v/>
      </c>
      <c r="O400" s="9" t="n"/>
    </row>
    <row r="401">
      <c r="A401" s="1" t="n"/>
      <c r="B401" s="9" t="n"/>
      <c r="C401" s="9" t="n"/>
      <c r="D401" s="14" t="n"/>
      <c r="E401" s="56" t="n"/>
      <c r="F401" s="19" t="n"/>
      <c r="G401" s="9" t="n"/>
      <c r="H401" s="10" t="n"/>
      <c r="I401" s="80">
        <f>IF($F401&gt;0,$H401/$F401,"")</f>
        <v/>
      </c>
      <c r="J401" s="10" t="n"/>
      <c r="K401" s="45" t="n"/>
      <c r="L401" s="9">
        <f>IF($B401="","",IF(AND($G401&lt;&gt;"Vacant",$M401="",OR($K401&lt;&gt;"",$G401="Occupied")),"Yes","No"))</f>
        <v/>
      </c>
      <c r="M401" s="45" t="n"/>
      <c r="N401" s="24">
        <f>IF($B401="","",IF($G401="Vacant","Vacant",IF(L401="Yes","MTM",IF(M401="","",M401))))</f>
        <v/>
      </c>
      <c r="O401" s="9" t="n"/>
    </row>
    <row r="402">
      <c r="A402" s="1" t="n"/>
      <c r="B402" s="9" t="n"/>
      <c r="C402" s="9" t="n"/>
      <c r="D402" s="14" t="n"/>
      <c r="E402" s="56" t="n"/>
      <c r="F402" s="19" t="n"/>
      <c r="G402" s="9" t="n"/>
      <c r="H402" s="10" t="n"/>
      <c r="I402" s="80">
        <f>IF($F402&gt;0,$H402/$F402,"")</f>
        <v/>
      </c>
      <c r="J402" s="10" t="n"/>
      <c r="K402" s="45" t="n"/>
      <c r="L402" s="9">
        <f>IF($B402="","",IF(AND($G402&lt;&gt;"Vacant",$M402="",OR($K402&lt;&gt;"",$G402="Occupied")),"Yes","No"))</f>
        <v/>
      </c>
      <c r="M402" s="45" t="n"/>
      <c r="N402" s="24">
        <f>IF($B402="","",IF($G402="Vacant","Vacant",IF(L402="Yes","MTM",IF(M402="","",M402))))</f>
        <v/>
      </c>
      <c r="O402" s="9" t="n"/>
    </row>
    <row r="403">
      <c r="A403" s="1" t="n"/>
      <c r="B403" s="9" t="n"/>
      <c r="C403" s="9" t="n"/>
      <c r="D403" s="14" t="n"/>
      <c r="E403" s="56" t="n"/>
      <c r="F403" s="19" t="n"/>
      <c r="G403" s="9" t="n"/>
      <c r="H403" s="10" t="n"/>
      <c r="I403" s="80">
        <f>IF($F403&gt;0,$H403/$F403,"")</f>
        <v/>
      </c>
      <c r="J403" s="10" t="n"/>
      <c r="K403" s="45" t="n"/>
      <c r="L403" s="9">
        <f>IF($B403="","",IF(AND($G403&lt;&gt;"Vacant",$M403="",OR($K403&lt;&gt;"",$G403="Occupied")),"Yes","No"))</f>
        <v/>
      </c>
      <c r="M403" s="45" t="n"/>
      <c r="N403" s="24">
        <f>IF($B403="","",IF($G403="Vacant","Vacant",IF(L403="Yes","MTM",IF(M403="","",M403))))</f>
        <v/>
      </c>
      <c r="O403" s="9" t="n"/>
    </row>
    <row r="404">
      <c r="A404" s="1" t="n"/>
      <c r="B404" s="9" t="n"/>
      <c r="C404" s="9" t="n"/>
      <c r="D404" s="14" t="n"/>
      <c r="E404" s="56" t="n"/>
      <c r="F404" s="19" t="n"/>
      <c r="G404" s="9" t="n"/>
      <c r="H404" s="10" t="n"/>
      <c r="I404" s="80">
        <f>IF($F404&gt;0,$H404/$F404,"")</f>
        <v/>
      </c>
      <c r="J404" s="10" t="n"/>
      <c r="K404" s="45" t="n"/>
      <c r="L404" s="9">
        <f>IF($B404="","",IF(AND($G404&lt;&gt;"Vacant",$M404="",OR($K404&lt;&gt;"",$G404="Occupied")),"Yes","No"))</f>
        <v/>
      </c>
      <c r="M404" s="45" t="n"/>
      <c r="N404" s="24">
        <f>IF($B404="","",IF($G404="Vacant","Vacant",IF(L404="Yes","MTM",IF(M404="","",M404))))</f>
        <v/>
      </c>
      <c r="O404" s="9" t="n"/>
    </row>
    <row r="405">
      <c r="A405" s="1" t="n"/>
      <c r="B405" s="9" t="n"/>
      <c r="C405" s="9" t="n"/>
      <c r="D405" s="14" t="n"/>
      <c r="E405" s="56" t="n"/>
      <c r="F405" s="19" t="n"/>
      <c r="G405" s="9" t="n"/>
      <c r="H405" s="10" t="n"/>
      <c r="I405" s="80">
        <f>IF($F405&gt;0,$H405/$F405,"")</f>
        <v/>
      </c>
      <c r="J405" s="10" t="n"/>
      <c r="K405" s="45" t="n"/>
      <c r="L405" s="9">
        <f>IF($B405="","",IF(AND($G405&lt;&gt;"Vacant",$M405="",OR($K405&lt;&gt;"",$G405="Occupied")),"Yes","No"))</f>
        <v/>
      </c>
      <c r="M405" s="45" t="n"/>
      <c r="N405" s="24">
        <f>IF($B405="","",IF($G405="Vacant","Vacant",IF(L405="Yes","MTM",IF(M405="","",M405))))</f>
        <v/>
      </c>
      <c r="O405" s="9" t="n"/>
    </row>
    <row r="406">
      <c r="A406" s="1" t="n"/>
      <c r="B406" s="17" t="inlineStr">
        <is>
          <t>Total</t>
        </is>
      </c>
      <c r="C406" s="1" t="n"/>
      <c r="D406" s="1" t="n"/>
      <c r="E406" s="1" t="n"/>
      <c r="F406" s="61">
        <f>SUM(F6:F405)</f>
        <v/>
      </c>
      <c r="G406" s="1" t="n"/>
      <c r="H406" s="62">
        <f>SUM(H6:H405)</f>
        <v/>
      </c>
      <c r="I406" s="1" t="n"/>
      <c r="J406" s="62">
        <f>SUM(J6:J405)</f>
        <v/>
      </c>
      <c r="K406" s="1" t="n"/>
      <c r="L406" s="1" t="n"/>
      <c r="M406" s="1" t="n"/>
      <c r="N406" s="1" t="n"/>
      <c r="O406" s="1" t="n"/>
    </row>
    <row r="407">
      <c r="A407" s="1" t="n"/>
      <c r="B407" s="1" t="n"/>
      <c r="C407" s="1" t="n"/>
      <c r="D407" s="1" t="n"/>
      <c r="E407" s="1" t="n"/>
      <c r="F407" s="1" t="n"/>
      <c r="G407" s="1" t="n"/>
      <c r="H407" s="1" t="n"/>
      <c r="I407" s="1" t="n"/>
      <c r="J407" s="1" t="n"/>
      <c r="K407" s="1" t="n"/>
      <c r="L407" s="1" t="n"/>
      <c r="M407" s="1" t="n"/>
      <c r="N407" s="1" t="n"/>
      <c r="O407" s="1" t="n"/>
    </row>
    <row r="408">
      <c r="A408" s="1" t="n"/>
      <c r="B408" s="1" t="n"/>
      <c r="C408" s="1" t="n"/>
      <c r="D408" s="1" t="n"/>
      <c r="E408" s="1" t="n"/>
      <c r="F408" s="1" t="n"/>
      <c r="G408" s="1" t="n"/>
      <c r="H408" s="1" t="n"/>
      <c r="I408" s="1" t="n"/>
      <c r="J408" s="1" t="n"/>
      <c r="K408" s="1" t="n"/>
      <c r="L408" s="1" t="n"/>
      <c r="M408" s="1" t="n"/>
      <c r="N408" s="1" t="n"/>
      <c r="O408" s="1" t="n"/>
    </row>
    <row r="409" hidden="1" outlineLevel="1">
      <c r="A409" s="1" t="n"/>
      <c r="B409" s="6" t="inlineStr">
        <is>
          <t>Analytics — Lease Expirations (next 24 months)</t>
        </is>
      </c>
      <c r="C409" s="7" t="n"/>
      <c r="D409" s="7" t="n"/>
      <c r="E409" s="7" t="n"/>
      <c r="F409" s="7" t="n"/>
      <c r="G409" s="7" t="n"/>
      <c r="H409" s="1" t="n"/>
      <c r="I409" s="1" t="n"/>
      <c r="J409" s="1" t="n"/>
      <c r="K409" s="1" t="n"/>
      <c r="L409" s="1" t="n"/>
      <c r="M409" s="1" t="n"/>
      <c r="N409" s="1" t="n"/>
      <c r="O409" s="1" t="n"/>
    </row>
    <row r="410" hidden="1" outlineLevel="1">
      <c r="A410" s="1" t="n"/>
      <c r="B410" s="17" t="inlineStr">
        <is>
          <t>Month</t>
        </is>
      </c>
      <c r="C410" s="17" t="inlineStr">
        <is>
          <t>Leases Expiring</t>
        </is>
      </c>
      <c r="D410" s="17" t="inlineStr">
        <is>
          <t>% of Units</t>
        </is>
      </c>
      <c r="E410" s="1" t="n"/>
      <c r="F410" s="1" t="n"/>
      <c r="G410" s="1" t="n"/>
      <c r="H410" s="1" t="n"/>
      <c r="I410" s="1" t="n"/>
      <c r="J410" s="1" t="n"/>
      <c r="K410" s="1" t="n"/>
      <c r="L410" s="1" t="n"/>
      <c r="M410" s="1" t="n"/>
      <c r="N410" s="1" t="n"/>
      <c r="O410" s="1" t="n"/>
    </row>
    <row r="411" hidden="1" outlineLevel="1">
      <c r="A411" s="1" t="n"/>
      <c r="B411" s="81">
        <f>EDATE('Summary &amp; Assumptions'!$C$22,0)</f>
        <v/>
      </c>
      <c r="C411" s="1">
        <f>COUNTIFS(M6:M405,"&gt;="&amp;EDATE('Summary &amp; Assumptions'!$C$22,0),M6:M405,"&lt;"&amp;EDATE('Summary &amp; Assumptions'!$C$22,1))</f>
        <v/>
      </c>
      <c r="D411" s="36">
        <f>IFERROR(C411/'UnitMix'!$F$31,0)</f>
        <v/>
      </c>
      <c r="E411" s="1" t="n"/>
      <c r="F411" s="1" t="n"/>
      <c r="G411" s="1" t="n"/>
      <c r="H411" s="1" t="n"/>
      <c r="I411" s="1" t="n"/>
      <c r="J411" s="1" t="n"/>
      <c r="K411" s="1" t="n"/>
      <c r="L411" s="1" t="n"/>
      <c r="M411" s="1" t="n"/>
      <c r="N411" s="1" t="n"/>
      <c r="O411" s="1" t="n"/>
    </row>
    <row r="412" hidden="1" outlineLevel="1">
      <c r="A412" s="1" t="n"/>
      <c r="B412" s="81">
        <f>EDATE('Summary &amp; Assumptions'!$C$22,1)</f>
        <v/>
      </c>
      <c r="C412" s="1">
        <f>COUNTIFS(M6:M405,"&gt;="&amp;EDATE('Summary &amp; Assumptions'!$C$22,1),M6:M405,"&lt;"&amp;EDATE('Summary &amp; Assumptions'!$C$22,2))</f>
        <v/>
      </c>
      <c r="D412" s="36">
        <f>IFERROR(C412/'UnitMix'!$F$31,0)</f>
        <v/>
      </c>
      <c r="E412" s="1" t="n"/>
      <c r="F412" s="1" t="n"/>
      <c r="G412" s="1" t="n"/>
      <c r="H412" s="1" t="n"/>
      <c r="I412" s="1" t="n"/>
      <c r="J412" s="1" t="n"/>
      <c r="K412" s="1" t="n"/>
      <c r="L412" s="1" t="n"/>
      <c r="M412" s="1" t="n"/>
      <c r="N412" s="1" t="n"/>
      <c r="O412" s="1" t="n"/>
    </row>
    <row r="413" hidden="1" outlineLevel="1">
      <c r="A413" s="1" t="n"/>
      <c r="B413" s="81">
        <f>EDATE('Summary &amp; Assumptions'!$C$22,2)</f>
        <v/>
      </c>
      <c r="C413" s="1">
        <f>COUNTIFS(M6:M405,"&gt;="&amp;EDATE('Summary &amp; Assumptions'!$C$22,2),M6:M405,"&lt;"&amp;EDATE('Summary &amp; Assumptions'!$C$22,3))</f>
        <v/>
      </c>
      <c r="D413" s="36">
        <f>IFERROR(C413/'UnitMix'!$F$31,0)</f>
        <v/>
      </c>
      <c r="E413" s="1" t="n"/>
      <c r="F413" s="1" t="n"/>
      <c r="G413" s="1" t="n"/>
      <c r="H413" s="1" t="n"/>
      <c r="I413" s="1" t="n"/>
      <c r="J413" s="1" t="n"/>
      <c r="K413" s="1" t="n"/>
      <c r="L413" s="1" t="n"/>
      <c r="M413" s="1" t="n"/>
      <c r="N413" s="1" t="n"/>
      <c r="O413" s="1" t="n"/>
    </row>
    <row r="414" hidden="1" outlineLevel="1">
      <c r="A414" s="1" t="n"/>
      <c r="B414" s="81">
        <f>EDATE('Summary &amp; Assumptions'!$C$22,3)</f>
        <v/>
      </c>
      <c r="C414" s="1">
        <f>COUNTIFS(M6:M405,"&gt;="&amp;EDATE('Summary &amp; Assumptions'!$C$22,3),M6:M405,"&lt;"&amp;EDATE('Summary &amp; Assumptions'!$C$22,4))</f>
        <v/>
      </c>
      <c r="D414" s="36">
        <f>IFERROR(C414/'UnitMix'!$F$31,0)</f>
        <v/>
      </c>
      <c r="E414" s="1" t="n"/>
      <c r="F414" s="1" t="n"/>
      <c r="G414" s="1" t="n"/>
      <c r="H414" s="1" t="n"/>
      <c r="I414" s="1" t="n"/>
      <c r="J414" s="1" t="n"/>
      <c r="K414" s="1" t="n"/>
      <c r="L414" s="1" t="n"/>
      <c r="M414" s="1" t="n"/>
      <c r="N414" s="1" t="n"/>
      <c r="O414" s="1" t="n"/>
    </row>
    <row r="415" hidden="1" outlineLevel="1">
      <c r="A415" s="1" t="n"/>
      <c r="B415" s="81">
        <f>EDATE('Summary &amp; Assumptions'!$C$22,4)</f>
        <v/>
      </c>
      <c r="C415" s="1">
        <f>COUNTIFS(M6:M405,"&gt;="&amp;EDATE('Summary &amp; Assumptions'!$C$22,4),M6:M405,"&lt;"&amp;EDATE('Summary &amp; Assumptions'!$C$22,5))</f>
        <v/>
      </c>
      <c r="D415" s="36">
        <f>IFERROR(C415/'UnitMix'!$F$31,0)</f>
        <v/>
      </c>
      <c r="E415" s="1" t="n"/>
      <c r="F415" s="1" t="n"/>
      <c r="G415" s="1" t="n"/>
      <c r="H415" s="1" t="n"/>
      <c r="I415" s="1" t="n"/>
      <c r="J415" s="1" t="n"/>
      <c r="K415" s="1" t="n"/>
      <c r="L415" s="1" t="n"/>
      <c r="M415" s="1" t="n"/>
      <c r="N415" s="1" t="n"/>
      <c r="O415" s="1" t="n"/>
    </row>
    <row r="416" hidden="1" outlineLevel="1">
      <c r="A416" s="1" t="n"/>
      <c r="B416" s="81">
        <f>EDATE('Summary &amp; Assumptions'!$C$22,5)</f>
        <v/>
      </c>
      <c r="C416" s="1">
        <f>COUNTIFS(M6:M405,"&gt;="&amp;EDATE('Summary &amp; Assumptions'!$C$22,5),M6:M405,"&lt;"&amp;EDATE('Summary &amp; Assumptions'!$C$22,6))</f>
        <v/>
      </c>
      <c r="D416" s="36">
        <f>IFERROR(C416/'UnitMix'!$F$31,0)</f>
        <v/>
      </c>
      <c r="E416" s="1" t="n"/>
      <c r="F416" s="1" t="n"/>
      <c r="G416" s="1" t="n"/>
      <c r="H416" s="1" t="n"/>
      <c r="I416" s="1" t="n"/>
      <c r="J416" s="1" t="n"/>
      <c r="K416" s="1" t="n"/>
      <c r="L416" s="1" t="n"/>
      <c r="M416" s="1" t="n"/>
      <c r="N416" s="1" t="n"/>
      <c r="O416" s="1" t="n"/>
    </row>
    <row r="417" hidden="1" outlineLevel="1">
      <c r="A417" s="1" t="n"/>
      <c r="B417" s="81">
        <f>EDATE('Summary &amp; Assumptions'!$C$22,6)</f>
        <v/>
      </c>
      <c r="C417" s="1">
        <f>COUNTIFS(M6:M405,"&gt;="&amp;EDATE('Summary &amp; Assumptions'!$C$22,6),M6:M405,"&lt;"&amp;EDATE('Summary &amp; Assumptions'!$C$22,7))</f>
        <v/>
      </c>
      <c r="D417" s="36">
        <f>IFERROR(C417/'UnitMix'!$F$31,0)</f>
        <v/>
      </c>
      <c r="E417" s="1" t="n"/>
      <c r="F417" s="1" t="n"/>
      <c r="G417" s="1" t="n"/>
      <c r="H417" s="1" t="n"/>
      <c r="I417" s="1" t="n"/>
      <c r="J417" s="1" t="n"/>
      <c r="K417" s="1" t="n"/>
      <c r="L417" s="1" t="n"/>
      <c r="M417" s="1" t="n"/>
      <c r="N417" s="1" t="n"/>
      <c r="O417" s="1" t="n"/>
    </row>
    <row r="418" hidden="1" outlineLevel="1">
      <c r="A418" s="1" t="n"/>
      <c r="B418" s="81">
        <f>EDATE('Summary &amp; Assumptions'!$C$22,7)</f>
        <v/>
      </c>
      <c r="C418" s="1">
        <f>COUNTIFS(M6:M405,"&gt;="&amp;EDATE('Summary &amp; Assumptions'!$C$22,7),M6:M405,"&lt;"&amp;EDATE('Summary &amp; Assumptions'!$C$22,8))</f>
        <v/>
      </c>
      <c r="D418" s="36">
        <f>IFERROR(C418/'UnitMix'!$F$31,0)</f>
        <v/>
      </c>
      <c r="E418" s="1" t="n"/>
      <c r="F418" s="1" t="n"/>
      <c r="G418" s="1" t="n"/>
      <c r="H418" s="1" t="n"/>
      <c r="I418" s="1" t="n"/>
      <c r="J418" s="1" t="n"/>
      <c r="K418" s="1" t="n"/>
      <c r="L418" s="1" t="n"/>
      <c r="M418" s="1" t="n"/>
      <c r="N418" s="1" t="n"/>
      <c r="O418" s="1" t="n"/>
    </row>
    <row r="419" hidden="1" outlineLevel="1">
      <c r="A419" s="1" t="n"/>
      <c r="B419" s="81">
        <f>EDATE('Summary &amp; Assumptions'!$C$22,8)</f>
        <v/>
      </c>
      <c r="C419" s="1">
        <f>COUNTIFS(M6:M405,"&gt;="&amp;EDATE('Summary &amp; Assumptions'!$C$22,8),M6:M405,"&lt;"&amp;EDATE('Summary &amp; Assumptions'!$C$22,9))</f>
        <v/>
      </c>
      <c r="D419" s="36">
        <f>IFERROR(C419/'UnitMix'!$F$31,0)</f>
        <v/>
      </c>
      <c r="E419" s="1" t="n"/>
      <c r="F419" s="1" t="n"/>
      <c r="G419" s="1" t="n"/>
      <c r="H419" s="1" t="n"/>
      <c r="I419" s="1" t="n"/>
      <c r="J419" s="1" t="n"/>
      <c r="K419" s="1" t="n"/>
      <c r="L419" s="1" t="n"/>
      <c r="M419" s="1" t="n"/>
      <c r="N419" s="1" t="n"/>
      <c r="O419" s="1" t="n"/>
    </row>
    <row r="420" hidden="1" outlineLevel="1">
      <c r="A420" s="1" t="n"/>
      <c r="B420" s="81">
        <f>EDATE('Summary &amp; Assumptions'!$C$22,9)</f>
        <v/>
      </c>
      <c r="C420" s="1">
        <f>COUNTIFS(M6:M405,"&gt;="&amp;EDATE('Summary &amp; Assumptions'!$C$22,9),M6:M405,"&lt;"&amp;EDATE('Summary &amp; Assumptions'!$C$22,10))</f>
        <v/>
      </c>
      <c r="D420" s="36">
        <f>IFERROR(C420/'UnitMix'!$F$31,0)</f>
        <v/>
      </c>
      <c r="E420" s="1" t="n"/>
      <c r="F420" s="1" t="n"/>
      <c r="G420" s="1" t="n"/>
      <c r="H420" s="1" t="n"/>
      <c r="I420" s="1" t="n"/>
      <c r="J420" s="1" t="n"/>
      <c r="K420" s="1" t="n"/>
      <c r="L420" s="1" t="n"/>
      <c r="M420" s="1" t="n"/>
      <c r="N420" s="1" t="n"/>
      <c r="O420" s="1" t="n"/>
    </row>
    <row r="421" hidden="1" outlineLevel="1">
      <c r="A421" s="1" t="n"/>
      <c r="B421" s="81">
        <f>EDATE('Summary &amp; Assumptions'!$C$22,10)</f>
        <v/>
      </c>
      <c r="C421" s="1">
        <f>COUNTIFS(M6:M405,"&gt;="&amp;EDATE('Summary &amp; Assumptions'!$C$22,10),M6:M405,"&lt;"&amp;EDATE('Summary &amp; Assumptions'!$C$22,11))</f>
        <v/>
      </c>
      <c r="D421" s="36">
        <f>IFERROR(C421/'UnitMix'!$F$31,0)</f>
        <v/>
      </c>
      <c r="E421" s="1" t="n"/>
      <c r="F421" s="1" t="n"/>
      <c r="G421" s="1" t="n"/>
      <c r="H421" s="1" t="n"/>
      <c r="I421" s="1" t="n"/>
      <c r="J421" s="1" t="n"/>
      <c r="K421" s="1" t="n"/>
      <c r="L421" s="1" t="n"/>
      <c r="M421" s="1" t="n"/>
      <c r="N421" s="1" t="n"/>
      <c r="O421" s="1" t="n"/>
    </row>
    <row r="422" hidden="1" outlineLevel="1">
      <c r="A422" s="1" t="n"/>
      <c r="B422" s="81">
        <f>EDATE('Summary &amp; Assumptions'!$C$22,11)</f>
        <v/>
      </c>
      <c r="C422" s="1">
        <f>COUNTIFS(M6:M405,"&gt;="&amp;EDATE('Summary &amp; Assumptions'!$C$22,11),M6:M405,"&lt;"&amp;EDATE('Summary &amp; Assumptions'!$C$22,12))</f>
        <v/>
      </c>
      <c r="D422" s="36">
        <f>IFERROR(C422/'UnitMix'!$F$31,0)</f>
        <v/>
      </c>
      <c r="E422" s="1" t="n"/>
      <c r="F422" s="1" t="n"/>
      <c r="G422" s="1" t="n"/>
      <c r="H422" s="1" t="n"/>
      <c r="I422" s="1" t="n"/>
      <c r="J422" s="1" t="n"/>
      <c r="K422" s="1" t="n"/>
      <c r="L422" s="1" t="n"/>
      <c r="M422" s="1" t="n"/>
      <c r="N422" s="1" t="n"/>
      <c r="O422" s="1" t="n"/>
    </row>
    <row r="423" hidden="1" outlineLevel="1">
      <c r="A423" s="1" t="n"/>
      <c r="B423" s="81">
        <f>EDATE('Summary &amp; Assumptions'!$C$22,12)</f>
        <v/>
      </c>
      <c r="C423" s="1">
        <f>COUNTIFS(M6:M405,"&gt;="&amp;EDATE('Summary &amp; Assumptions'!$C$22,12),M6:M405,"&lt;"&amp;EDATE('Summary &amp; Assumptions'!$C$22,13))</f>
        <v/>
      </c>
      <c r="D423" s="36">
        <f>IFERROR(C423/'UnitMix'!$F$31,0)</f>
        <v/>
      </c>
      <c r="E423" s="1" t="n"/>
      <c r="F423" s="1" t="n"/>
      <c r="G423" s="1" t="n"/>
      <c r="H423" s="1" t="n"/>
      <c r="I423" s="1" t="n"/>
      <c r="J423" s="1" t="n"/>
      <c r="K423" s="1" t="n"/>
      <c r="L423" s="1" t="n"/>
      <c r="M423" s="1" t="n"/>
      <c r="N423" s="1" t="n"/>
      <c r="O423" s="1" t="n"/>
    </row>
    <row r="424" hidden="1" outlineLevel="1">
      <c r="A424" s="1" t="n"/>
      <c r="B424" s="81">
        <f>EDATE('Summary &amp; Assumptions'!$C$22,13)</f>
        <v/>
      </c>
      <c r="C424" s="1">
        <f>COUNTIFS(M6:M405,"&gt;="&amp;EDATE('Summary &amp; Assumptions'!$C$22,13),M6:M405,"&lt;"&amp;EDATE('Summary &amp; Assumptions'!$C$22,14))</f>
        <v/>
      </c>
      <c r="D424" s="36">
        <f>IFERROR(C424/'UnitMix'!$F$31,0)</f>
        <v/>
      </c>
      <c r="E424" s="1" t="n"/>
      <c r="F424" s="1" t="n"/>
      <c r="G424" s="1" t="n"/>
      <c r="H424" s="1" t="n"/>
      <c r="I424" s="1" t="n"/>
      <c r="J424" s="1" t="n"/>
      <c r="K424" s="1" t="n"/>
      <c r="L424" s="1" t="n"/>
      <c r="M424" s="1" t="n"/>
      <c r="N424" s="1" t="n"/>
      <c r="O424" s="1" t="n"/>
    </row>
    <row r="425" hidden="1" outlineLevel="1">
      <c r="A425" s="1" t="n"/>
      <c r="B425" s="81">
        <f>EDATE('Summary &amp; Assumptions'!$C$22,14)</f>
        <v/>
      </c>
      <c r="C425" s="1">
        <f>COUNTIFS(M6:M405,"&gt;="&amp;EDATE('Summary &amp; Assumptions'!$C$22,14),M6:M405,"&lt;"&amp;EDATE('Summary &amp; Assumptions'!$C$22,15))</f>
        <v/>
      </c>
      <c r="D425" s="36">
        <f>IFERROR(C425/'UnitMix'!$F$31,0)</f>
        <v/>
      </c>
      <c r="E425" s="1" t="n"/>
      <c r="F425" s="1" t="n"/>
      <c r="G425" s="1" t="n"/>
      <c r="H425" s="1" t="n"/>
      <c r="I425" s="1" t="n"/>
      <c r="J425" s="1" t="n"/>
      <c r="K425" s="1" t="n"/>
      <c r="L425" s="1" t="n"/>
      <c r="M425" s="1" t="n"/>
      <c r="N425" s="1" t="n"/>
      <c r="O425" s="1" t="n"/>
    </row>
    <row r="426" hidden="1" outlineLevel="1">
      <c r="A426" s="1" t="n"/>
      <c r="B426" s="81">
        <f>EDATE('Summary &amp; Assumptions'!$C$22,15)</f>
        <v/>
      </c>
      <c r="C426" s="1">
        <f>COUNTIFS(M6:M405,"&gt;="&amp;EDATE('Summary &amp; Assumptions'!$C$22,15),M6:M405,"&lt;"&amp;EDATE('Summary &amp; Assumptions'!$C$22,16))</f>
        <v/>
      </c>
      <c r="D426" s="36">
        <f>IFERROR(C426/'UnitMix'!$F$31,0)</f>
        <v/>
      </c>
      <c r="E426" s="1" t="n"/>
      <c r="F426" s="1" t="n"/>
      <c r="G426" s="1" t="n"/>
      <c r="H426" s="1" t="n"/>
      <c r="I426" s="1" t="n"/>
      <c r="J426" s="1" t="n"/>
      <c r="K426" s="1" t="n"/>
      <c r="L426" s="1" t="n"/>
      <c r="M426" s="1" t="n"/>
      <c r="N426" s="1" t="n"/>
      <c r="O426" s="1" t="n"/>
    </row>
    <row r="427" hidden="1" outlineLevel="1">
      <c r="A427" s="1" t="n"/>
      <c r="B427" s="81">
        <f>EDATE('Summary &amp; Assumptions'!$C$22,16)</f>
        <v/>
      </c>
      <c r="C427" s="1">
        <f>COUNTIFS(M6:M405,"&gt;="&amp;EDATE('Summary &amp; Assumptions'!$C$22,16),M6:M405,"&lt;"&amp;EDATE('Summary &amp; Assumptions'!$C$22,17))</f>
        <v/>
      </c>
      <c r="D427" s="36">
        <f>IFERROR(C427/'UnitMix'!$F$31,0)</f>
        <v/>
      </c>
      <c r="E427" s="1" t="n"/>
      <c r="F427" s="1" t="n"/>
      <c r="G427" s="1" t="n"/>
      <c r="H427" s="1" t="n"/>
      <c r="I427" s="1" t="n"/>
      <c r="J427" s="1" t="n"/>
      <c r="K427" s="1" t="n"/>
      <c r="L427" s="1" t="n"/>
      <c r="M427" s="1" t="n"/>
      <c r="N427" s="1" t="n"/>
      <c r="O427" s="1" t="n"/>
    </row>
    <row r="428" hidden="1" outlineLevel="1">
      <c r="A428" s="1" t="n"/>
      <c r="B428" s="81">
        <f>EDATE('Summary &amp; Assumptions'!$C$22,17)</f>
        <v/>
      </c>
      <c r="C428" s="1">
        <f>COUNTIFS(M6:M405,"&gt;="&amp;EDATE('Summary &amp; Assumptions'!$C$22,17),M6:M405,"&lt;"&amp;EDATE('Summary &amp; Assumptions'!$C$22,18))</f>
        <v/>
      </c>
      <c r="D428" s="36">
        <f>IFERROR(C428/'UnitMix'!$F$31,0)</f>
        <v/>
      </c>
      <c r="E428" s="1" t="n"/>
      <c r="F428" s="1" t="n"/>
      <c r="G428" s="1" t="n"/>
      <c r="H428" s="1" t="n"/>
      <c r="I428" s="1" t="n"/>
      <c r="J428" s="1" t="n"/>
      <c r="K428" s="1" t="n"/>
      <c r="L428" s="1" t="n"/>
      <c r="M428" s="1" t="n"/>
      <c r="N428" s="1" t="n"/>
      <c r="O428" s="1" t="n"/>
    </row>
    <row r="429" hidden="1" outlineLevel="1">
      <c r="A429" s="1" t="n"/>
      <c r="B429" s="81">
        <f>EDATE('Summary &amp; Assumptions'!$C$22,18)</f>
        <v/>
      </c>
      <c r="C429" s="1">
        <f>COUNTIFS(M6:M405,"&gt;="&amp;EDATE('Summary &amp; Assumptions'!$C$22,18),M6:M405,"&lt;"&amp;EDATE('Summary &amp; Assumptions'!$C$22,19))</f>
        <v/>
      </c>
      <c r="D429" s="36">
        <f>IFERROR(C429/'UnitMix'!$F$31,0)</f>
        <v/>
      </c>
      <c r="E429" s="1" t="n"/>
      <c r="F429" s="1" t="n"/>
      <c r="G429" s="1" t="n"/>
      <c r="H429" s="1" t="n"/>
      <c r="I429" s="1" t="n"/>
      <c r="J429" s="1" t="n"/>
      <c r="K429" s="1" t="n"/>
      <c r="L429" s="1" t="n"/>
      <c r="M429" s="1" t="n"/>
      <c r="N429" s="1" t="n"/>
      <c r="O429" s="1" t="n"/>
    </row>
    <row r="430" hidden="1" outlineLevel="1">
      <c r="A430" s="1" t="n"/>
      <c r="B430" s="81">
        <f>EDATE('Summary &amp; Assumptions'!$C$22,19)</f>
        <v/>
      </c>
      <c r="C430" s="1">
        <f>COUNTIFS(M6:M405,"&gt;="&amp;EDATE('Summary &amp; Assumptions'!$C$22,19),M6:M405,"&lt;"&amp;EDATE('Summary &amp; Assumptions'!$C$22,20))</f>
        <v/>
      </c>
      <c r="D430" s="36">
        <f>IFERROR(C430/'UnitMix'!$F$31,0)</f>
        <v/>
      </c>
      <c r="E430" s="1" t="n"/>
      <c r="F430" s="1" t="n"/>
      <c r="G430" s="1" t="n"/>
      <c r="H430" s="1" t="n"/>
      <c r="I430" s="1" t="n"/>
      <c r="J430" s="1" t="n"/>
      <c r="K430" s="1" t="n"/>
      <c r="L430" s="1" t="n"/>
      <c r="M430" s="1" t="n"/>
      <c r="N430" s="1" t="n"/>
      <c r="O430" s="1" t="n"/>
    </row>
    <row r="431" hidden="1" outlineLevel="1">
      <c r="A431" s="1" t="n"/>
      <c r="B431" s="81">
        <f>EDATE('Summary &amp; Assumptions'!$C$22,20)</f>
        <v/>
      </c>
      <c r="C431" s="1">
        <f>COUNTIFS(M6:M405,"&gt;="&amp;EDATE('Summary &amp; Assumptions'!$C$22,20),M6:M405,"&lt;"&amp;EDATE('Summary &amp; Assumptions'!$C$22,21))</f>
        <v/>
      </c>
      <c r="D431" s="36">
        <f>IFERROR(C431/'UnitMix'!$F$31,0)</f>
        <v/>
      </c>
      <c r="E431" s="1" t="n"/>
      <c r="F431" s="1" t="n"/>
      <c r="G431" s="1" t="n"/>
      <c r="H431" s="1" t="n"/>
      <c r="I431" s="1" t="n"/>
      <c r="J431" s="1" t="n"/>
      <c r="K431" s="1" t="n"/>
      <c r="L431" s="1" t="n"/>
      <c r="M431" s="1" t="n"/>
      <c r="N431" s="1" t="n"/>
      <c r="O431" s="1" t="n"/>
    </row>
    <row r="432" hidden="1" outlineLevel="1">
      <c r="A432" s="1" t="n"/>
      <c r="B432" s="81">
        <f>EDATE('Summary &amp; Assumptions'!$C$22,21)</f>
        <v/>
      </c>
      <c r="C432" s="1">
        <f>COUNTIFS(M6:M405,"&gt;="&amp;EDATE('Summary &amp; Assumptions'!$C$22,21),M6:M405,"&lt;"&amp;EDATE('Summary &amp; Assumptions'!$C$22,22))</f>
        <v/>
      </c>
      <c r="D432" s="36">
        <f>IFERROR(C432/'UnitMix'!$F$31,0)</f>
        <v/>
      </c>
      <c r="E432" s="1" t="n"/>
      <c r="F432" s="1" t="n"/>
      <c r="G432" s="1" t="n"/>
      <c r="H432" s="1" t="n"/>
      <c r="I432" s="1" t="n"/>
      <c r="J432" s="1" t="n"/>
      <c r="K432" s="1" t="n"/>
      <c r="L432" s="1" t="n"/>
      <c r="M432" s="1" t="n"/>
      <c r="N432" s="1" t="n"/>
      <c r="O432" s="1" t="n"/>
    </row>
    <row r="433" hidden="1" outlineLevel="1">
      <c r="A433" s="1" t="n"/>
      <c r="B433" s="81">
        <f>EDATE('Summary &amp; Assumptions'!$C$22,22)</f>
        <v/>
      </c>
      <c r="C433" s="1">
        <f>COUNTIFS(M6:M405,"&gt;="&amp;EDATE('Summary &amp; Assumptions'!$C$22,22),M6:M405,"&lt;"&amp;EDATE('Summary &amp; Assumptions'!$C$22,23))</f>
        <v/>
      </c>
      <c r="D433" s="36">
        <f>IFERROR(C433/'UnitMix'!$F$31,0)</f>
        <v/>
      </c>
      <c r="E433" s="1" t="n"/>
      <c r="F433" s="1" t="n"/>
      <c r="G433" s="1" t="n"/>
      <c r="H433" s="1" t="n"/>
      <c r="I433" s="1" t="n"/>
      <c r="J433" s="1" t="n"/>
      <c r="K433" s="1" t="n"/>
      <c r="L433" s="1" t="n"/>
      <c r="M433" s="1" t="n"/>
      <c r="N433" s="1" t="n"/>
      <c r="O433" s="1" t="n"/>
    </row>
    <row r="434" hidden="1" outlineLevel="1">
      <c r="A434" s="1" t="n"/>
      <c r="B434" s="81">
        <f>EDATE('Summary &amp; Assumptions'!$C$22,23)</f>
        <v/>
      </c>
      <c r="C434" s="1">
        <f>COUNTIFS(M6:M405,"&gt;="&amp;EDATE('Summary &amp; Assumptions'!$C$22,23),M6:M405,"&lt;"&amp;EDATE('Summary &amp; Assumptions'!$C$22,24))</f>
        <v/>
      </c>
      <c r="D434" s="36">
        <f>IFERROR(C434/'UnitMix'!$F$31,0)</f>
        <v/>
      </c>
      <c r="E434" s="1" t="n"/>
      <c r="F434" s="1" t="n"/>
      <c r="G434" s="1" t="n"/>
      <c r="H434" s="1" t="n"/>
      <c r="I434" s="1" t="n"/>
      <c r="J434" s="1" t="n"/>
      <c r="K434" s="1" t="n"/>
      <c r="L434" s="1" t="n"/>
      <c r="M434" s="1" t="n"/>
      <c r="N434" s="1" t="n"/>
      <c r="O434" s="1" t="n"/>
    </row>
    <row r="435" hidden="1" outlineLevel="1">
      <c r="A435" s="1" t="n"/>
      <c r="B435" s="1" t="n"/>
      <c r="C435" s="1" t="n"/>
      <c r="D435" s="1" t="n"/>
      <c r="E435" s="1" t="n"/>
      <c r="F435" s="1" t="n"/>
      <c r="G435" s="1" t="n"/>
      <c r="H435" s="1" t="n"/>
      <c r="I435" s="1" t="n"/>
      <c r="J435" s="1" t="n"/>
      <c r="K435" s="1" t="n"/>
      <c r="L435" s="1" t="n"/>
      <c r="M435" s="1" t="n"/>
      <c r="N435" s="1" t="n"/>
      <c r="O435" s="1" t="n"/>
    </row>
    <row r="436" hidden="1" outlineLevel="1">
      <c r="A436" s="1" t="n"/>
      <c r="B436" s="1" t="n"/>
      <c r="C436" s="1" t="n"/>
      <c r="D436" s="1" t="n"/>
      <c r="E436" s="1" t="n"/>
      <c r="F436" s="1" t="n"/>
      <c r="G436" s="1" t="n"/>
      <c r="H436" s="1" t="n"/>
      <c r="I436" s="1" t="n"/>
      <c r="J436" s="1" t="n"/>
      <c r="K436" s="1" t="n"/>
      <c r="L436" s="1" t="n"/>
      <c r="M436" s="1" t="n"/>
      <c r="N436" s="1" t="n"/>
      <c r="O436" s="1" t="n"/>
    </row>
    <row r="437" hidden="1" outlineLevel="1">
      <c r="A437" s="1" t="n"/>
      <c r="B437" s="6" t="inlineStr">
        <is>
          <t>Analytics — In-Place vs Market by Floor Plan</t>
        </is>
      </c>
      <c r="C437" s="7" t="n"/>
      <c r="D437" s="7" t="n"/>
      <c r="E437" s="7" t="n"/>
      <c r="F437" s="7" t="n"/>
      <c r="G437" s="7" t="n"/>
      <c r="H437" s="1" t="n"/>
      <c r="I437" s="1" t="n"/>
      <c r="J437" s="1" t="n"/>
      <c r="K437" s="1" t="n"/>
      <c r="L437" s="1" t="n"/>
      <c r="M437" s="1" t="n"/>
      <c r="N437" s="1" t="n"/>
      <c r="O437" s="1" t="n"/>
    </row>
    <row r="438" hidden="1" outlineLevel="1">
      <c r="A438" s="1" t="n"/>
      <c r="B438" s="17" t="inlineStr">
        <is>
          <t>Floor Plan</t>
        </is>
      </c>
      <c r="C438" s="17" t="inlineStr">
        <is>
          <t>Units</t>
        </is>
      </c>
      <c r="D438" s="17" t="inlineStr">
        <is>
          <t>Avg In-Place</t>
        </is>
      </c>
      <c r="E438" s="17" t="inlineStr">
        <is>
          <t>Avg Market</t>
        </is>
      </c>
      <c r="F438" s="17" t="inlineStr">
        <is>
          <t>Gap %</t>
        </is>
      </c>
      <c r="G438" s="1" t="n"/>
      <c r="H438" s="1" t="n"/>
      <c r="I438" s="1" t="n"/>
      <c r="J438" s="1" t="n"/>
      <c r="K438" s="1" t="n"/>
      <c r="L438" s="1" t="n"/>
      <c r="M438" s="1" t="n"/>
      <c r="N438" s="1" t="n"/>
      <c r="O438" s="1" t="n"/>
    </row>
    <row r="439" hidden="1" outlineLevel="1">
      <c r="A439" s="1" t="n"/>
      <c r="B439" s="1">
        <f>IF(UnitMix!B6="","",UnitMix!B6)</f>
        <v/>
      </c>
      <c r="C439" s="1">
        <f>IF($B439="","",COUNTIFS($C$6:$C$405,$B439))</f>
        <v/>
      </c>
      <c r="D439" s="72">
        <f>IF($B439="","",IFERROR(AVERAGEIFS($H$6:$H$405,$C$6:$C$405,$B439,$G$6:$G$405,"Occupied"),0))</f>
        <v/>
      </c>
      <c r="E439" s="72">
        <f>IF($B439="","",IFERROR(AVERAGEIFS($J$6:$J$405,$C$6:$C$405,$B439),0))</f>
        <v/>
      </c>
      <c r="F439" s="36">
        <f>IF($B439="","",IFERROR(E439/D439-1,""))</f>
        <v/>
      </c>
      <c r="G439" s="1" t="n"/>
      <c r="H439" s="1" t="n"/>
      <c r="I439" s="1" t="n"/>
      <c r="J439" s="1" t="n"/>
      <c r="K439" s="1" t="n"/>
      <c r="L439" s="1" t="n"/>
      <c r="M439" s="1" t="n"/>
      <c r="N439" s="1" t="n"/>
      <c r="O439" s="1" t="n"/>
    </row>
    <row r="440" hidden="1" outlineLevel="1">
      <c r="A440" s="1" t="n"/>
      <c r="B440" s="1">
        <f>IF(UnitMix!B7="","",UnitMix!B7)</f>
        <v/>
      </c>
      <c r="C440" s="1">
        <f>IF($B440="","",COUNTIFS($C$6:$C$405,$B440))</f>
        <v/>
      </c>
      <c r="D440" s="72">
        <f>IF($B440="","",IFERROR(AVERAGEIFS($H$6:$H$405,$C$6:$C$405,$B440,$G$6:$G$405,"Occupied"),0))</f>
        <v/>
      </c>
      <c r="E440" s="72">
        <f>IF($B440="","",IFERROR(AVERAGEIFS($J$6:$J$405,$C$6:$C$405,$B440),0))</f>
        <v/>
      </c>
      <c r="F440" s="36">
        <f>IF($B440="","",IFERROR(E440/D440-1,""))</f>
        <v/>
      </c>
      <c r="G440" s="1" t="n"/>
      <c r="H440" s="1" t="n"/>
      <c r="I440" s="1" t="n"/>
      <c r="J440" s="1" t="n"/>
      <c r="K440" s="1" t="n"/>
      <c r="L440" s="1" t="n"/>
      <c r="M440" s="1" t="n"/>
      <c r="N440" s="1" t="n"/>
      <c r="O440" s="1" t="n"/>
    </row>
    <row r="441" hidden="1" outlineLevel="1">
      <c r="A441" s="1" t="n"/>
      <c r="B441" s="1">
        <f>IF(UnitMix!B8="","",UnitMix!B8)</f>
        <v/>
      </c>
      <c r="C441" s="1">
        <f>IF($B441="","",COUNTIFS($C$6:$C$405,$B441))</f>
        <v/>
      </c>
      <c r="D441" s="72">
        <f>IF($B441="","",IFERROR(AVERAGEIFS($H$6:$H$405,$C$6:$C$405,$B441,$G$6:$G$405,"Occupied"),0))</f>
        <v/>
      </c>
      <c r="E441" s="72">
        <f>IF($B441="","",IFERROR(AVERAGEIFS($J$6:$J$405,$C$6:$C$405,$B441),0))</f>
        <v/>
      </c>
      <c r="F441" s="36">
        <f>IF($B441="","",IFERROR(E441/D441-1,""))</f>
        <v/>
      </c>
      <c r="G441" s="1" t="n"/>
      <c r="H441" s="1" t="n"/>
      <c r="I441" s="1" t="n"/>
      <c r="J441" s="1" t="n"/>
      <c r="K441" s="1" t="n"/>
      <c r="L441" s="1" t="n"/>
      <c r="M441" s="1" t="n"/>
      <c r="N441" s="1" t="n"/>
      <c r="O441" s="1" t="n"/>
    </row>
    <row r="442" hidden="1" outlineLevel="1">
      <c r="A442" s="1" t="n"/>
      <c r="B442" s="1">
        <f>IF(UnitMix!B9="","",UnitMix!B9)</f>
        <v/>
      </c>
      <c r="C442" s="1">
        <f>IF($B442="","",COUNTIFS($C$6:$C$405,$B442))</f>
        <v/>
      </c>
      <c r="D442" s="72">
        <f>IF($B442="","",IFERROR(AVERAGEIFS($H$6:$H$405,$C$6:$C$405,$B442,$G$6:$G$405,"Occupied"),0))</f>
        <v/>
      </c>
      <c r="E442" s="72">
        <f>IF($B442="","",IFERROR(AVERAGEIFS($J$6:$J$405,$C$6:$C$405,$B442),0))</f>
        <v/>
      </c>
      <c r="F442" s="36">
        <f>IF($B442="","",IFERROR(E442/D442-1,""))</f>
        <v/>
      </c>
      <c r="G442" s="1" t="n"/>
      <c r="H442" s="1" t="n"/>
      <c r="I442" s="1" t="n"/>
      <c r="J442" s="1" t="n"/>
      <c r="K442" s="1" t="n"/>
      <c r="L442" s="1" t="n"/>
      <c r="M442" s="1" t="n"/>
      <c r="N442" s="1" t="n"/>
      <c r="O442" s="1" t="n"/>
    </row>
    <row r="443" hidden="1" outlineLevel="1">
      <c r="A443" s="1" t="n"/>
      <c r="B443" s="1">
        <f>IF(UnitMix!B10="","",UnitMix!B10)</f>
        <v/>
      </c>
      <c r="C443" s="1">
        <f>IF($B443="","",COUNTIFS($C$6:$C$405,$B443))</f>
        <v/>
      </c>
      <c r="D443" s="72">
        <f>IF($B443="","",IFERROR(AVERAGEIFS($H$6:$H$405,$C$6:$C$405,$B443,$G$6:$G$405,"Occupied"),0))</f>
        <v/>
      </c>
      <c r="E443" s="72">
        <f>IF($B443="","",IFERROR(AVERAGEIFS($J$6:$J$405,$C$6:$C$405,$B443),0))</f>
        <v/>
      </c>
      <c r="F443" s="36">
        <f>IF($B443="","",IFERROR(E443/D443-1,""))</f>
        <v/>
      </c>
      <c r="G443" s="1" t="n"/>
      <c r="H443" s="1" t="n"/>
      <c r="I443" s="1" t="n"/>
      <c r="J443" s="1" t="n"/>
      <c r="K443" s="1" t="n"/>
      <c r="L443" s="1" t="n"/>
      <c r="M443" s="1" t="n"/>
      <c r="N443" s="1" t="n"/>
      <c r="O443" s="1" t="n"/>
    </row>
    <row r="444" hidden="1" outlineLevel="1">
      <c r="A444" s="1" t="n"/>
      <c r="B444" s="1">
        <f>IF(UnitMix!B11="","",UnitMix!B11)</f>
        <v/>
      </c>
      <c r="C444" s="1">
        <f>IF($B444="","",COUNTIFS($C$6:$C$405,$B444))</f>
        <v/>
      </c>
      <c r="D444" s="72">
        <f>IF($B444="","",IFERROR(AVERAGEIFS($H$6:$H$405,$C$6:$C$405,$B444,$G$6:$G$405,"Occupied"),0))</f>
        <v/>
      </c>
      <c r="E444" s="72">
        <f>IF($B444="","",IFERROR(AVERAGEIFS($J$6:$J$405,$C$6:$C$405,$B444),0))</f>
        <v/>
      </c>
      <c r="F444" s="36">
        <f>IF($B444="","",IFERROR(E444/D444-1,""))</f>
        <v/>
      </c>
      <c r="G444" s="1" t="n"/>
      <c r="H444" s="1" t="n"/>
      <c r="I444" s="1" t="n"/>
      <c r="J444" s="1" t="n"/>
      <c r="K444" s="1" t="n"/>
      <c r="L444" s="1" t="n"/>
      <c r="M444" s="1" t="n"/>
      <c r="N444" s="1" t="n"/>
      <c r="O444" s="1" t="n"/>
    </row>
    <row r="445" hidden="1" outlineLevel="1">
      <c r="A445" s="1" t="n"/>
      <c r="B445" s="1">
        <f>IF(UnitMix!B12="","",UnitMix!B12)</f>
        <v/>
      </c>
      <c r="C445" s="1">
        <f>IF($B445="","",COUNTIFS($C$6:$C$405,$B445))</f>
        <v/>
      </c>
      <c r="D445" s="72">
        <f>IF($B445="","",IFERROR(AVERAGEIFS($H$6:$H$405,$C$6:$C$405,$B445,$G$6:$G$405,"Occupied"),0))</f>
        <v/>
      </c>
      <c r="E445" s="72">
        <f>IF($B445="","",IFERROR(AVERAGEIFS($J$6:$J$405,$C$6:$C$405,$B445),0))</f>
        <v/>
      </c>
      <c r="F445" s="36">
        <f>IF($B445="","",IFERROR(E445/D445-1,""))</f>
        <v/>
      </c>
      <c r="G445" s="1" t="n"/>
      <c r="H445" s="1" t="n"/>
      <c r="I445" s="1" t="n"/>
      <c r="J445" s="1" t="n"/>
      <c r="K445" s="1" t="n"/>
      <c r="L445" s="1" t="n"/>
      <c r="M445" s="1" t="n"/>
      <c r="N445" s="1" t="n"/>
      <c r="O445" s="1" t="n"/>
    </row>
    <row r="446" hidden="1" outlineLevel="1">
      <c r="A446" s="1" t="n"/>
      <c r="B446" s="1">
        <f>IF(UnitMix!B13="","",UnitMix!B13)</f>
        <v/>
      </c>
      <c r="C446" s="1">
        <f>IF($B446="","",COUNTIFS($C$6:$C$405,$B446))</f>
        <v/>
      </c>
      <c r="D446" s="72">
        <f>IF($B446="","",IFERROR(AVERAGEIFS($H$6:$H$405,$C$6:$C$405,$B446,$G$6:$G$405,"Occupied"),0))</f>
        <v/>
      </c>
      <c r="E446" s="72">
        <f>IF($B446="","",IFERROR(AVERAGEIFS($J$6:$J$405,$C$6:$C$405,$B446),0))</f>
        <v/>
      </c>
      <c r="F446" s="36">
        <f>IF($B446="","",IFERROR(E446/D446-1,""))</f>
        <v/>
      </c>
      <c r="G446" s="1" t="n"/>
      <c r="H446" s="1" t="n"/>
      <c r="I446" s="1" t="n"/>
      <c r="J446" s="1" t="n"/>
      <c r="K446" s="1" t="n"/>
      <c r="L446" s="1" t="n"/>
      <c r="M446" s="1" t="n"/>
      <c r="N446" s="1" t="n"/>
      <c r="O446" s="1" t="n"/>
    </row>
    <row r="447" hidden="1" outlineLevel="1">
      <c r="A447" s="1" t="n"/>
      <c r="B447" s="1">
        <f>IF(UnitMix!B14="","",UnitMix!B14)</f>
        <v/>
      </c>
      <c r="C447" s="1">
        <f>IF($B447="","",COUNTIFS($C$6:$C$405,$B447))</f>
        <v/>
      </c>
      <c r="D447" s="72">
        <f>IF($B447="","",IFERROR(AVERAGEIFS($H$6:$H$405,$C$6:$C$405,$B447,$G$6:$G$405,"Occupied"),0))</f>
        <v/>
      </c>
      <c r="E447" s="72">
        <f>IF($B447="","",IFERROR(AVERAGEIFS($J$6:$J$405,$C$6:$C$405,$B447),0))</f>
        <v/>
      </c>
      <c r="F447" s="36">
        <f>IF($B447="","",IFERROR(E447/D447-1,""))</f>
        <v/>
      </c>
      <c r="G447" s="1" t="n"/>
      <c r="H447" s="1" t="n"/>
      <c r="I447" s="1" t="n"/>
      <c r="J447" s="1" t="n"/>
      <c r="K447" s="1" t="n"/>
      <c r="L447" s="1" t="n"/>
      <c r="M447" s="1" t="n"/>
      <c r="N447" s="1" t="n"/>
      <c r="O447" s="1" t="n"/>
    </row>
    <row r="448" hidden="1" outlineLevel="1">
      <c r="A448" s="1" t="n"/>
      <c r="B448" s="1">
        <f>IF(UnitMix!B15="","",UnitMix!B15)</f>
        <v/>
      </c>
      <c r="C448" s="1">
        <f>IF($B448="","",COUNTIFS($C$6:$C$405,$B448))</f>
        <v/>
      </c>
      <c r="D448" s="72">
        <f>IF($B448="","",IFERROR(AVERAGEIFS($H$6:$H$405,$C$6:$C$405,$B448,$G$6:$G$405,"Occupied"),0))</f>
        <v/>
      </c>
      <c r="E448" s="72">
        <f>IF($B448="","",IFERROR(AVERAGEIFS($J$6:$J$405,$C$6:$C$405,$B448),0))</f>
        <v/>
      </c>
      <c r="F448" s="36">
        <f>IF($B448="","",IFERROR(E448/D448-1,""))</f>
        <v/>
      </c>
      <c r="G448" s="1" t="n"/>
      <c r="H448" s="1" t="n"/>
      <c r="I448" s="1" t="n"/>
      <c r="J448" s="1" t="n"/>
      <c r="K448" s="1" t="n"/>
      <c r="L448" s="1" t="n"/>
      <c r="M448" s="1" t="n"/>
      <c r="N448" s="1" t="n"/>
      <c r="O448" s="1" t="n"/>
    </row>
    <row r="449" hidden="1" outlineLevel="1">
      <c r="A449" s="1" t="n"/>
      <c r="B449" s="1">
        <f>IF(UnitMix!B16="","",UnitMix!B16)</f>
        <v/>
      </c>
      <c r="C449" s="1">
        <f>IF($B449="","",COUNTIFS($C$6:$C$405,$B449))</f>
        <v/>
      </c>
      <c r="D449" s="72">
        <f>IF($B449="","",IFERROR(AVERAGEIFS($H$6:$H$405,$C$6:$C$405,$B449,$G$6:$G$405,"Occupied"),0))</f>
        <v/>
      </c>
      <c r="E449" s="72">
        <f>IF($B449="","",IFERROR(AVERAGEIFS($J$6:$J$405,$C$6:$C$405,$B449),0))</f>
        <v/>
      </c>
      <c r="F449" s="36">
        <f>IF($B449="","",IFERROR(E449/D449-1,""))</f>
        <v/>
      </c>
      <c r="G449" s="1" t="n"/>
      <c r="H449" s="1" t="n"/>
      <c r="I449" s="1" t="n"/>
      <c r="J449" s="1" t="n"/>
      <c r="K449" s="1" t="n"/>
      <c r="L449" s="1" t="n"/>
      <c r="M449" s="1" t="n"/>
      <c r="N449" s="1" t="n"/>
      <c r="O449" s="1" t="n"/>
    </row>
    <row r="450" hidden="1" outlineLevel="1">
      <c r="A450" s="1" t="n"/>
      <c r="B450" s="1">
        <f>IF(UnitMix!B17="","",UnitMix!B17)</f>
        <v/>
      </c>
      <c r="C450" s="1">
        <f>IF($B450="","",COUNTIFS($C$6:$C$405,$B450))</f>
        <v/>
      </c>
      <c r="D450" s="72">
        <f>IF($B450="","",IFERROR(AVERAGEIFS($H$6:$H$405,$C$6:$C$405,$B450,$G$6:$G$405,"Occupied"),0))</f>
        <v/>
      </c>
      <c r="E450" s="72">
        <f>IF($B450="","",IFERROR(AVERAGEIFS($J$6:$J$405,$C$6:$C$405,$B450),0))</f>
        <v/>
      </c>
      <c r="F450" s="36">
        <f>IF($B450="","",IFERROR(E450/D450-1,""))</f>
        <v/>
      </c>
      <c r="G450" s="1" t="n"/>
      <c r="H450" s="1" t="n"/>
      <c r="I450" s="1" t="n"/>
      <c r="J450" s="1" t="n"/>
      <c r="K450" s="1" t="n"/>
      <c r="L450" s="1" t="n"/>
      <c r="M450" s="1" t="n"/>
      <c r="N450" s="1" t="n"/>
      <c r="O450" s="1" t="n"/>
    </row>
    <row r="451" hidden="1" outlineLevel="1">
      <c r="A451" s="1" t="n"/>
      <c r="B451" s="1">
        <f>IF(UnitMix!B18="","",UnitMix!B18)</f>
        <v/>
      </c>
      <c r="C451" s="1">
        <f>IF($B451="","",COUNTIFS($C$6:$C$405,$B451))</f>
        <v/>
      </c>
      <c r="D451" s="72">
        <f>IF($B451="","",IFERROR(AVERAGEIFS($H$6:$H$405,$C$6:$C$405,$B451,$G$6:$G$405,"Occupied"),0))</f>
        <v/>
      </c>
      <c r="E451" s="72">
        <f>IF($B451="","",IFERROR(AVERAGEIFS($J$6:$J$405,$C$6:$C$405,$B451),0))</f>
        <v/>
      </c>
      <c r="F451" s="36">
        <f>IF($B451="","",IFERROR(E451/D451-1,""))</f>
        <v/>
      </c>
      <c r="G451" s="1" t="n"/>
      <c r="H451" s="1" t="n"/>
      <c r="I451" s="1" t="n"/>
      <c r="J451" s="1" t="n"/>
      <c r="K451" s="1" t="n"/>
      <c r="L451" s="1" t="n"/>
      <c r="M451" s="1" t="n"/>
      <c r="N451" s="1" t="n"/>
      <c r="O451" s="1" t="n"/>
    </row>
    <row r="452" hidden="1" outlineLevel="1">
      <c r="A452" s="1" t="n"/>
      <c r="B452" s="1">
        <f>IF(UnitMix!B19="","",UnitMix!B19)</f>
        <v/>
      </c>
      <c r="C452" s="1">
        <f>IF($B452="","",COUNTIFS($C$6:$C$405,$B452))</f>
        <v/>
      </c>
      <c r="D452" s="72">
        <f>IF($B452="","",IFERROR(AVERAGEIFS($H$6:$H$405,$C$6:$C$405,$B452,$G$6:$G$405,"Occupied"),0))</f>
        <v/>
      </c>
      <c r="E452" s="72">
        <f>IF($B452="","",IFERROR(AVERAGEIFS($J$6:$J$405,$C$6:$C$405,$B452),0))</f>
        <v/>
      </c>
      <c r="F452" s="36">
        <f>IF($B452="","",IFERROR(E452/D452-1,""))</f>
        <v/>
      </c>
      <c r="G452" s="1" t="n"/>
      <c r="H452" s="1" t="n"/>
      <c r="I452" s="1" t="n"/>
      <c r="J452" s="1" t="n"/>
      <c r="K452" s="1" t="n"/>
      <c r="L452" s="1" t="n"/>
      <c r="M452" s="1" t="n"/>
      <c r="N452" s="1" t="n"/>
      <c r="O452" s="1" t="n"/>
    </row>
    <row r="453" hidden="1" outlineLevel="1">
      <c r="A453" s="1" t="n"/>
      <c r="B453" s="1">
        <f>IF(UnitMix!B20="","",UnitMix!B20)</f>
        <v/>
      </c>
      <c r="C453" s="1">
        <f>IF($B453="","",COUNTIFS($C$6:$C$405,$B453))</f>
        <v/>
      </c>
      <c r="D453" s="72">
        <f>IF($B453="","",IFERROR(AVERAGEIFS($H$6:$H$405,$C$6:$C$405,$B453,$G$6:$G$405,"Occupied"),0))</f>
        <v/>
      </c>
      <c r="E453" s="72">
        <f>IF($B453="","",IFERROR(AVERAGEIFS($J$6:$J$405,$C$6:$C$405,$B453),0))</f>
        <v/>
      </c>
      <c r="F453" s="36">
        <f>IF($B453="","",IFERROR(E453/D453-1,""))</f>
        <v/>
      </c>
      <c r="G453" s="1" t="n"/>
      <c r="H453" s="1" t="n"/>
      <c r="I453" s="1" t="n"/>
      <c r="J453" s="1" t="n"/>
      <c r="K453" s="1" t="n"/>
      <c r="L453" s="1" t="n"/>
      <c r="M453" s="1" t="n"/>
      <c r="N453" s="1" t="n"/>
      <c r="O453" s="1" t="n"/>
    </row>
    <row r="454" hidden="1" outlineLevel="1">
      <c r="A454" s="1" t="n"/>
      <c r="B454" s="1">
        <f>IF(UnitMix!B21="","",UnitMix!B21)</f>
        <v/>
      </c>
      <c r="C454" s="1">
        <f>IF($B454="","",COUNTIFS($C$6:$C$405,$B454))</f>
        <v/>
      </c>
      <c r="D454" s="72">
        <f>IF($B454="","",IFERROR(AVERAGEIFS($H$6:$H$405,$C$6:$C$405,$B454,$G$6:$G$405,"Occupied"),0))</f>
        <v/>
      </c>
      <c r="E454" s="72">
        <f>IF($B454="","",IFERROR(AVERAGEIFS($J$6:$J$405,$C$6:$C$405,$B454),0))</f>
        <v/>
      </c>
      <c r="F454" s="36">
        <f>IF($B454="","",IFERROR(E454/D454-1,""))</f>
        <v/>
      </c>
      <c r="G454" s="1" t="n"/>
      <c r="H454" s="1" t="n"/>
      <c r="I454" s="1" t="n"/>
      <c r="J454" s="1" t="n"/>
      <c r="K454" s="1" t="n"/>
      <c r="L454" s="1" t="n"/>
      <c r="M454" s="1" t="n"/>
      <c r="N454" s="1" t="n"/>
      <c r="O454" s="1" t="n"/>
    </row>
    <row r="455" hidden="1" outlineLevel="1">
      <c r="A455" s="1" t="n"/>
      <c r="B455" s="1">
        <f>IF(UnitMix!B22="","",UnitMix!B22)</f>
        <v/>
      </c>
      <c r="C455" s="1">
        <f>IF($B455="","",COUNTIFS($C$6:$C$405,$B455))</f>
        <v/>
      </c>
      <c r="D455" s="72">
        <f>IF($B455="","",IFERROR(AVERAGEIFS($H$6:$H$405,$C$6:$C$405,$B455,$G$6:$G$405,"Occupied"),0))</f>
        <v/>
      </c>
      <c r="E455" s="72">
        <f>IF($B455="","",IFERROR(AVERAGEIFS($J$6:$J$405,$C$6:$C$405,$B455),0))</f>
        <v/>
      </c>
      <c r="F455" s="36">
        <f>IF($B455="","",IFERROR(E455/D455-1,""))</f>
        <v/>
      </c>
      <c r="G455" s="1" t="n"/>
      <c r="H455" s="1" t="n"/>
      <c r="I455" s="1" t="n"/>
      <c r="J455" s="1" t="n"/>
      <c r="K455" s="1" t="n"/>
      <c r="L455" s="1" t="n"/>
      <c r="M455" s="1" t="n"/>
      <c r="N455" s="1" t="n"/>
      <c r="O455" s="1" t="n"/>
    </row>
    <row r="456" hidden="1" outlineLevel="1">
      <c r="A456" s="1" t="n"/>
      <c r="B456" s="1">
        <f>IF(UnitMix!B23="","",UnitMix!B23)</f>
        <v/>
      </c>
      <c r="C456" s="1">
        <f>IF($B456="","",COUNTIFS($C$6:$C$405,$B456))</f>
        <v/>
      </c>
      <c r="D456" s="72">
        <f>IF($B456="","",IFERROR(AVERAGEIFS($H$6:$H$405,$C$6:$C$405,$B456,$G$6:$G$405,"Occupied"),0))</f>
        <v/>
      </c>
      <c r="E456" s="72">
        <f>IF($B456="","",IFERROR(AVERAGEIFS($J$6:$J$405,$C$6:$C$405,$B456),0))</f>
        <v/>
      </c>
      <c r="F456" s="36">
        <f>IF($B456="","",IFERROR(E456/D456-1,""))</f>
        <v/>
      </c>
      <c r="G456" s="1" t="n"/>
      <c r="H456" s="1" t="n"/>
      <c r="I456" s="1" t="n"/>
      <c r="J456" s="1" t="n"/>
      <c r="K456" s="1" t="n"/>
      <c r="L456" s="1" t="n"/>
      <c r="M456" s="1" t="n"/>
      <c r="N456" s="1" t="n"/>
      <c r="O456" s="1" t="n"/>
    </row>
    <row r="457" hidden="1" outlineLevel="1">
      <c r="A457" s="1" t="n"/>
      <c r="B457" s="1">
        <f>IF(UnitMix!B24="","",UnitMix!B24)</f>
        <v/>
      </c>
      <c r="C457" s="1">
        <f>IF($B457="","",COUNTIFS($C$6:$C$405,$B457))</f>
        <v/>
      </c>
      <c r="D457" s="72">
        <f>IF($B457="","",IFERROR(AVERAGEIFS($H$6:$H$405,$C$6:$C$405,$B457,$G$6:$G$405,"Occupied"),0))</f>
        <v/>
      </c>
      <c r="E457" s="72">
        <f>IF($B457="","",IFERROR(AVERAGEIFS($J$6:$J$405,$C$6:$C$405,$B457),0))</f>
        <v/>
      </c>
      <c r="F457" s="36">
        <f>IF($B457="","",IFERROR(E457/D457-1,""))</f>
        <v/>
      </c>
      <c r="G457" s="1" t="n"/>
      <c r="H457" s="1" t="n"/>
      <c r="I457" s="1" t="n"/>
      <c r="J457" s="1" t="n"/>
      <c r="K457" s="1" t="n"/>
      <c r="L457" s="1" t="n"/>
      <c r="M457" s="1" t="n"/>
      <c r="N457" s="1" t="n"/>
      <c r="O457" s="1" t="n"/>
    </row>
    <row r="458" hidden="1" outlineLevel="1">
      <c r="A458" s="1" t="n"/>
      <c r="B458" s="1">
        <f>IF(UnitMix!B25="","",UnitMix!B25)</f>
        <v/>
      </c>
      <c r="C458" s="1">
        <f>IF($B458="","",COUNTIFS($C$6:$C$405,$B458))</f>
        <v/>
      </c>
      <c r="D458" s="72">
        <f>IF($B458="","",IFERROR(AVERAGEIFS($H$6:$H$405,$C$6:$C$405,$B458,$G$6:$G$405,"Occupied"),0))</f>
        <v/>
      </c>
      <c r="E458" s="72">
        <f>IF($B458="","",IFERROR(AVERAGEIFS($J$6:$J$405,$C$6:$C$405,$B458),0))</f>
        <v/>
      </c>
      <c r="F458" s="36">
        <f>IF($B458="","",IFERROR(E458/D458-1,""))</f>
        <v/>
      </c>
      <c r="G458" s="1" t="n"/>
      <c r="H458" s="1" t="n"/>
      <c r="I458" s="1" t="n"/>
      <c r="J458" s="1" t="n"/>
      <c r="K458" s="1" t="n"/>
      <c r="L458" s="1" t="n"/>
      <c r="M458" s="1" t="n"/>
      <c r="N458" s="1" t="n"/>
      <c r="O458" s="1" t="n"/>
    </row>
    <row r="459" hidden="1" outlineLevel="1">
      <c r="A459" s="1" t="n"/>
      <c r="B459" s="1">
        <f>IF(UnitMix!B26="","",UnitMix!B26)</f>
        <v/>
      </c>
      <c r="C459" s="1">
        <f>IF($B459="","",COUNTIFS($C$6:$C$405,$B459))</f>
        <v/>
      </c>
      <c r="D459" s="72">
        <f>IF($B459="","",IFERROR(AVERAGEIFS($H$6:$H$405,$C$6:$C$405,$B459,$G$6:$G$405,"Occupied"),0))</f>
        <v/>
      </c>
      <c r="E459" s="72">
        <f>IF($B459="","",IFERROR(AVERAGEIFS($J$6:$J$405,$C$6:$C$405,$B459),0))</f>
        <v/>
      </c>
      <c r="F459" s="36">
        <f>IF($B459="","",IFERROR(E459/D459-1,""))</f>
        <v/>
      </c>
      <c r="G459" s="1" t="n"/>
      <c r="H459" s="1" t="n"/>
      <c r="I459" s="1" t="n"/>
      <c r="J459" s="1" t="n"/>
      <c r="K459" s="1" t="n"/>
      <c r="L459" s="1" t="n"/>
      <c r="M459" s="1" t="n"/>
      <c r="N459" s="1" t="n"/>
      <c r="O459" s="1" t="n"/>
    </row>
    <row r="460">
      <c r="A460" s="1" t="n"/>
      <c r="B460" s="1">
        <f>IF(UnitMix!B27="","",UnitMix!B27)</f>
        <v/>
      </c>
      <c r="C460" s="1">
        <f>IF($B460="","",COUNTIFS($C$6:$C$405,$B460))</f>
        <v/>
      </c>
      <c r="D460" s="72">
        <f>IF($B460="","",IFERROR(AVERAGEIFS($H$6:$H$405,$C$6:$C$405,$B460,$G$6:$G$405,"Occupied"),0))</f>
        <v/>
      </c>
      <c r="E460" s="72">
        <f>IF($B460="","",IFERROR(AVERAGEIFS($J$6:$J$405,$C$6:$C$405,$B460),0))</f>
        <v/>
      </c>
      <c r="F460" s="36">
        <f>IF($B460="","",IFERROR(E460/D460-1,""))</f>
        <v/>
      </c>
      <c r="G460" s="1" t="n"/>
      <c r="H460" s="1" t="n"/>
      <c r="I460" s="1" t="n"/>
      <c r="J460" s="1" t="n"/>
      <c r="K460" s="1" t="n"/>
      <c r="L460" s="1" t="n"/>
      <c r="M460" s="1" t="n"/>
      <c r="N460" s="1" t="n"/>
      <c r="O460" s="1" t="n"/>
    </row>
    <row r="461">
      <c r="A461" s="1" t="n"/>
      <c r="B461" s="1">
        <f>IF(UnitMix!B28="","",UnitMix!B28)</f>
        <v/>
      </c>
      <c r="C461" s="1">
        <f>IF($B461="","",COUNTIFS($C$6:$C$405,$B461))</f>
        <v/>
      </c>
      <c r="D461" s="72">
        <f>IF($B461="","",IFERROR(AVERAGEIFS($H$6:$H$405,$C$6:$C$405,$B461,$G$6:$G$405,"Occupied"),0))</f>
        <v/>
      </c>
      <c r="E461" s="72">
        <f>IF($B461="","",IFERROR(AVERAGEIFS($J$6:$J$405,$C$6:$C$405,$B461),0))</f>
        <v/>
      </c>
      <c r="F461" s="36">
        <f>IF($B461="","",IFERROR(E461/D461-1,""))</f>
        <v/>
      </c>
      <c r="G461" s="1" t="n"/>
      <c r="H461" s="1" t="n"/>
      <c r="I461" s="1" t="n"/>
      <c r="J461" s="1" t="n"/>
      <c r="K461" s="1" t="n"/>
      <c r="L461" s="1" t="n"/>
      <c r="M461" s="1" t="n"/>
      <c r="N461" s="1" t="n"/>
      <c r="O461" s="1" t="n"/>
    </row>
    <row r="462">
      <c r="A462" s="1" t="n"/>
      <c r="B462" s="1">
        <f>IF(UnitMix!B29="","",UnitMix!B29)</f>
        <v/>
      </c>
      <c r="C462" s="1">
        <f>IF($B462="","",COUNTIFS($C$6:$C$405,$B462))</f>
        <v/>
      </c>
      <c r="D462" s="72">
        <f>IF($B462="","",IFERROR(AVERAGEIFS($H$6:$H$405,$C$6:$C$405,$B462,$G$6:$G$405,"Occupied"),0))</f>
        <v/>
      </c>
      <c r="E462" s="72">
        <f>IF($B462="","",IFERROR(AVERAGEIFS($J$6:$J$405,$C$6:$C$405,$B462),0))</f>
        <v/>
      </c>
      <c r="F462" s="36">
        <f>IF($B462="","",IFERROR(E462/D462-1,""))</f>
        <v/>
      </c>
      <c r="G462" s="1" t="n"/>
      <c r="H462" s="1" t="n"/>
      <c r="I462" s="1" t="n"/>
      <c r="J462" s="1" t="n"/>
      <c r="K462" s="1" t="n"/>
      <c r="L462" s="1" t="n"/>
      <c r="M462" s="1" t="n"/>
      <c r="N462" s="1" t="n"/>
      <c r="O462" s="1" t="n"/>
    </row>
    <row r="463">
      <c r="A463" s="1" t="n"/>
      <c r="B463" s="1">
        <f>IF(UnitMix!B30="","",UnitMix!B30)</f>
        <v/>
      </c>
      <c r="C463" s="1">
        <f>IF($B463="","",COUNTIFS($C$6:$C$405,$B463))</f>
        <v/>
      </c>
      <c r="D463" s="72">
        <f>IF($B463="","",IFERROR(AVERAGEIFS($H$6:$H$405,$C$6:$C$405,$B463,$G$6:$G$405,"Occupied"),0))</f>
        <v/>
      </c>
      <c r="E463" s="72">
        <f>IF($B463="","",IFERROR(AVERAGEIFS($J$6:$J$405,$C$6:$C$405,$B463),0))</f>
        <v/>
      </c>
      <c r="F463" s="36">
        <f>IF($B463="","",IFERROR(E463/D463-1,""))</f>
        <v/>
      </c>
      <c r="G463" s="1" t="n"/>
      <c r="H463" s="1" t="n"/>
      <c r="I463" s="1" t="n"/>
      <c r="J463" s="1" t="n"/>
      <c r="K463" s="1" t="n"/>
      <c r="L463" s="1" t="n"/>
      <c r="M463" s="1" t="n"/>
      <c r="N463" s="1" t="n"/>
      <c r="O463" s="1" t="n"/>
    </row>
  </sheetData>
  <sheetProtection selectLockedCells="1" selectUnlockedCells="0" algorithmName="SHA-512" sheet="1" objects="1" insertRows="1" insertHyperlinks="1" autoFilter="0" scenarios="1" formatColumns="0" deleteColumns="1" insertColumns="1" pivotTables="1" deleteRows="1" formatCells="0" saltValue="kR2Lz1QJEyJLiHJBsVqNvQ==" formatRows="0" sort="0" spinCount="100000" hashValue="Npj19r5N85qwBCk4c3p/jsOKtxM6e1g92r/EaiYi0mQDXZkMNPqE1mHXM8k0HpofVJF1JugduiuQXHm1M5sHLA=="/>
  <autoFilter ref="B5:O405"/>
  <dataValidations count="3">
    <dataValidation sqref="G6:G405" showDropDown="0" showInputMessage="0" showErrorMessage="0" allowBlank="1" type="list">
      <formula1>=lst_occ_status</formula1>
    </dataValidation>
    <dataValidation sqref="L6:L405" showDropDown="0" showInputMessage="0" showErrorMessage="0" allowBlank="1" type="list">
      <formula1>=lst_yn</formula1>
    </dataValidation>
    <dataValidation sqref="O6:O405" showDropDown="0" showInputMessage="0" showErrorMessage="0" allowBlank="1" type="list">
      <formula1>=lst_yn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26"/>
  <sheetViews>
    <sheetView showGridLines="0" workbookViewId="0">
      <selection activeCell="A1" sqref="A1"/>
    </sheetView>
  </sheetViews>
  <sheetFormatPr baseColWidth="8" defaultRowHeight="15" outlineLevelCol="0"/>
  <cols>
    <col width="8.699999999999999" customWidth="1" style="1" min="1" max="1"/>
    <col width="33.6" customWidth="1" style="1" min="2" max="2"/>
    <col width="25.6" customWidth="1" style="1" min="3" max="3"/>
    <col width="8.699999999999999" customWidth="1" style="1" min="4" max="4"/>
    <col width="18.9" customWidth="1" style="1" min="5" max="5"/>
    <col width="13" customWidth="1" style="1" min="6" max="6"/>
    <col width="13" customWidth="1" style="1" min="7" max="7"/>
    <col width="13" customWidth="1" style="1" min="8" max="8"/>
    <col width="13" customWidth="1" style="1" min="9" max="9"/>
    <col width="13" customWidth="1" style="1" min="10" max="10"/>
    <col width="13" customWidth="1" style="1" min="11" max="11"/>
    <col width="13" customWidth="1" style="1" min="12" max="12"/>
    <col width="13" customWidth="1" style="1" min="13" max="13"/>
    <col width="13" customWidth="1" style="1" min="14" max="14"/>
    <col width="13" customWidth="1" style="1" min="15" max="15"/>
    <col width="13" customWidth="1" style="1" min="16" max="16"/>
    <col width="13" customWidth="1" style="1" min="17" max="17"/>
    <col width="13" customWidth="1" style="1" min="18" max="18"/>
    <col width="13" customWidth="1" style="1" min="19" max="19"/>
    <col width="13" customWidth="1" style="1" min="20" max="20"/>
    <col width="13" customWidth="1" style="1" min="21" max="21"/>
    <col width="13" customWidth="1" style="1" min="22" max="22"/>
    <col width="13" customWidth="1" style="1" min="23" max="23"/>
    <col width="13" customWidth="1" style="1" min="24" max="24"/>
    <col width="13" customWidth="1" style="1" min="25" max="25"/>
    <col width="13" customWidth="1" style="1" min="26" max="26"/>
    <col width="13" customWidth="1" style="1" min="27" max="27"/>
    <col width="13" customWidth="1" style="1" min="28" max="28"/>
    <col width="13" customWidth="1" style="1" min="29" max="29"/>
    <col width="13" customWidth="1" style="1" min="30" max="30"/>
    <col width="13" customWidth="1" style="1" min="31" max="31"/>
    <col width="13" customWidth="1" style="1" min="32" max="32"/>
    <col width="13" customWidth="1" style="1" min="33" max="33"/>
    <col width="13" customWidth="1" style="1" min="34" max="34"/>
  </cols>
  <sheetData>
    <row r="1">
      <c r="A1" s="1" t="n"/>
      <c r="B1" s="2" t="n"/>
      <c r="C1" s="1" t="n"/>
      <c r="D1" s="1" t="n"/>
      <c r="E1" s="1" t="n"/>
    </row>
    <row r="2">
      <c r="A2" s="1" t="n"/>
      <c r="B2" s="1" t="n"/>
      <c r="C2" s="1" t="n"/>
      <c r="D2" s="1" t="n"/>
      <c r="E2" s="1" t="n"/>
    </row>
    <row r="3">
      <c r="A3" s="1" t="n"/>
      <c r="B3" s="82" t="inlineStr">
        <is>
          <t>State Real Estate Excise Tax Calculation</t>
        </is>
      </c>
      <c r="C3" s="1" t="n"/>
      <c r="D3" s="1" t="n"/>
      <c r="E3" s="1" t="n"/>
    </row>
    <row r="4">
      <c r="A4" s="1" t="n"/>
      <c r="B4" s="17" t="inlineStr">
        <is>
          <t>Effective Jan. 1, 2023</t>
        </is>
      </c>
      <c r="C4" s="1" t="n"/>
      <c r="D4" s="1" t="n"/>
      <c r="E4" s="1" t="n"/>
    </row>
    <row r="5">
      <c r="A5" s="1" t="n"/>
      <c r="B5" s="1" t="n"/>
      <c r="C5" s="1" t="n"/>
      <c r="D5" s="1" t="n"/>
      <c r="E5" s="1" t="n"/>
    </row>
    <row r="6">
      <c r="A6" s="1" t="n"/>
      <c r="B6" s="17" t="inlineStr">
        <is>
          <t>Use this form to calculate the state REET tax due for sales occurring on or after Jan. 1, 2023.</t>
        </is>
      </c>
      <c r="C6" s="1" t="n"/>
      <c r="D6" s="1" t="n"/>
      <c r="E6" s="1" t="n"/>
    </row>
    <row r="7">
      <c r="A7" s="1" t="n"/>
      <c r="B7" s="8" t="inlineStr">
        <is>
          <t xml:space="preserve">   The local REET tax is calculated separately and is in addition to the state REET tax.</t>
        </is>
      </c>
      <c r="C7" s="1" t="n"/>
      <c r="D7" s="1" t="n"/>
      <c r="E7" s="1" t="n"/>
    </row>
    <row r="8">
      <c r="A8" s="1" t="n"/>
      <c r="B8" s="8" t="inlineStr">
        <is>
          <t xml:space="preserve">   For sales occurring Jan. 1, 2020 to Dec. 31, 2022, use the tax calculator for that time frame</t>
        </is>
      </c>
      <c r="C8" s="1" t="n"/>
      <c r="D8" s="1" t="n"/>
      <c r="E8" s="1" t="n"/>
    </row>
    <row r="9">
      <c r="A9" s="1" t="n"/>
      <c r="B9" s="8" t="inlineStr">
        <is>
          <t xml:space="preserve">   For sales occurring prior to Jan. 1, 2020 use the rates in the "More Information" column at dor.wa.gov/REET</t>
        </is>
      </c>
      <c r="C9" s="1" t="n"/>
      <c r="D9" s="1" t="n"/>
      <c r="E9" s="1" t="n"/>
    </row>
    <row r="10">
      <c r="A10" s="1" t="n"/>
      <c r="B10" s="8" t="inlineStr">
        <is>
          <t xml:space="preserve">   This form does not apply to transactions of property predominantly used for agriculture or timberland.</t>
        </is>
      </c>
      <c r="C10" s="1" t="n"/>
      <c r="D10" s="1" t="n"/>
      <c r="E10" s="1" t="n"/>
    </row>
    <row r="11">
      <c r="A11" s="1" t="n"/>
      <c r="B11" s="1" t="n"/>
      <c r="C11" s="1" t="n"/>
      <c r="D11" s="1" t="n"/>
      <c r="E11" s="1" t="n"/>
    </row>
    <row r="12">
      <c r="A12" s="1" t="n"/>
      <c r="B12" s="17" t="inlineStr">
        <is>
          <t>Instructions</t>
        </is>
      </c>
      <c r="C12" s="1" t="n"/>
      <c r="D12" s="1" t="n"/>
      <c r="E12" s="1" t="n"/>
    </row>
    <row r="13">
      <c r="A13" s="1" t="n"/>
      <c r="B13" s="8" t="inlineStr">
        <is>
          <t xml:space="preserve">   Enter the taxable selling price.</t>
        </is>
      </c>
      <c r="C13" s="1" t="n"/>
      <c r="D13" s="1" t="n"/>
      <c r="E13" s="1" t="n"/>
    </row>
    <row r="14">
      <c r="A14" s="1" t="n"/>
      <c r="B14" s="8" t="inlineStr">
        <is>
          <t xml:space="preserve">   The form will calculate the state REET tax.</t>
        </is>
      </c>
      <c r="C14" s="1" t="n"/>
      <c r="D14" s="1" t="n"/>
      <c r="E14" s="1" t="n"/>
    </row>
    <row r="15">
      <c r="A15" s="1" t="n"/>
      <c r="B15" s="8" t="inlineStr">
        <is>
          <t xml:space="preserve">   The taxable selling price excludes the deduction for personal property and any exemption claimed.</t>
        </is>
      </c>
      <c r="C15" s="1" t="n"/>
      <c r="D15" s="1" t="n"/>
      <c r="E15" s="1" t="n"/>
    </row>
    <row r="16">
      <c r="A16" s="1" t="n"/>
      <c r="B16" s="1" t="n"/>
      <c r="C16" s="1" t="n"/>
      <c r="D16" s="1" t="n"/>
      <c r="E16" s="1" t="n"/>
    </row>
    <row r="17">
      <c r="A17" s="1" t="n"/>
      <c r="B17" s="17" t="inlineStr">
        <is>
          <t xml:space="preserve">  Taxable selling price</t>
        </is>
      </c>
      <c r="C17" s="83">
        <f>'Summary &amp; Assumptions'!$N$8</f>
        <v/>
      </c>
      <c r="D17" s="1" t="n"/>
      <c r="E17" s="1" t="n"/>
    </row>
    <row r="18">
      <c r="A18" s="1" t="n"/>
      <c r="B18" s="1" t="n"/>
      <c r="C18" s="1" t="n"/>
      <c r="D18" s="1" t="n"/>
      <c r="E18" s="1" t="n"/>
    </row>
    <row r="19">
      <c r="A19" s="1" t="n"/>
      <c r="B19" s="17" t="inlineStr">
        <is>
          <t>Threshold</t>
        </is>
      </c>
      <c r="C19" s="17" t="inlineStr">
        <is>
          <t>Portion of taxable amount within threshold</t>
        </is>
      </c>
      <c r="D19" s="17" t="inlineStr">
        <is>
          <t>Rate</t>
        </is>
      </c>
      <c r="E19" s="17" t="inlineStr">
        <is>
          <t>State REET tax</t>
        </is>
      </c>
    </row>
    <row r="20">
      <c r="A20" s="1" t="n"/>
      <c r="B20" s="8" t="inlineStr">
        <is>
          <t>Equal to or less than 525,000</t>
        </is>
      </c>
      <c r="C20" s="83">
        <f>IF(C17="","",IF(C17&lt;525000,C17,525000))</f>
        <v/>
      </c>
      <c r="D20" s="11" t="n">
        <v>0.011</v>
      </c>
      <c r="E20" s="83">
        <f>IF(C20="","",(C20*D20))</f>
        <v/>
      </c>
    </row>
    <row r="21">
      <c r="A21" s="1" t="n"/>
      <c r="B21" s="8" t="inlineStr">
        <is>
          <t>525,000.01 - 1,525,000</t>
        </is>
      </c>
      <c r="C21" s="83">
        <f>IF(C17&gt;1525000,1000000,IF(C17&lt;525000,"",C17-525000))</f>
        <v/>
      </c>
      <c r="D21" s="11" t="n">
        <v>0.0128</v>
      </c>
      <c r="E21" s="83">
        <f>IF(C21="","",(C21*D21))</f>
        <v/>
      </c>
    </row>
    <row r="22">
      <c r="A22" s="1" t="n"/>
      <c r="B22" s="8" t="inlineStr">
        <is>
          <t>1,525,000.01 to 3,025,000</t>
        </is>
      </c>
      <c r="C22" s="83">
        <f>IF(C17&gt;3025000,1500000,IF(C17&lt;1525000,"",C17-1525000))</f>
        <v/>
      </c>
      <c r="D22" s="11" t="n">
        <v>0.0275</v>
      </c>
      <c r="E22" s="83">
        <f>IF(C22="","",(C22*D22))</f>
        <v/>
      </c>
    </row>
    <row r="23">
      <c r="A23" s="1" t="n"/>
      <c r="B23" s="8" t="inlineStr">
        <is>
          <t>Above 3,025,000.01</t>
        </is>
      </c>
      <c r="C23" s="83">
        <f>IF(C17&gt;3025000,C17-3025000,"")</f>
        <v/>
      </c>
      <c r="D23" s="11" t="n">
        <v>0.03</v>
      </c>
      <c r="E23" s="83">
        <f>IF(C23="","",(C23*D23))</f>
        <v/>
      </c>
    </row>
    <row r="24">
      <c r="A24" s="1" t="n"/>
      <c r="B24" s="17" t="inlineStr">
        <is>
          <t>Totals</t>
        </is>
      </c>
      <c r="C24" s="83">
        <f>IF(C20="","",SUM(C20:C23))</f>
        <v/>
      </c>
      <c r="D24" s="1" t="n"/>
      <c r="E24" s="83">
        <f>IF(E20="","",SUM(E20:E23))</f>
        <v/>
      </c>
    </row>
    <row r="25">
      <c r="A25" s="1" t="n"/>
      <c r="B25" s="1" t="n"/>
      <c r="C25" s="1" t="n"/>
      <c r="D25" s="1" t="n"/>
      <c r="E25" s="1" t="n"/>
    </row>
    <row r="26">
      <c r="A26" s="1" t="n"/>
      <c r="B26" s="8" t="inlineStr">
        <is>
          <t>Effective REET rate</t>
        </is>
      </c>
      <c r="C26" s="1" t="n"/>
      <c r="D26" s="1" t="n"/>
      <c r="E26" s="11">
        <f>IFERROR(E24/C17,0)</f>
        <v/>
      </c>
    </row>
  </sheetData>
  <sheetProtection selectLockedCells="1" selectUnlockedCells="0" algorithmName="SHA-512" sheet="1" objects="1" insertRows="1" insertHyperlinks="1" autoFilter="1" scenarios="1" formatColumns="0" deleteColumns="1" insertColumns="1" pivotTables="1" deleteRows="1" formatCells="0" saltValue="kR2Lz1QJEyJLiHJBsVqNvQ==" formatRows="0" sort="1" spinCount="100000" hashValue="Npj19r5N85qwBCk4c3p/jsOKtxM6e1g92r/EaiYi0mQDXZkMNPqE1mHXM8k0HpofVJF1JugduiuQXHm1M5sHLA=="/>
  <mergeCells count="1">
    <mergeCell ref="B15:E15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tabColor rgb="004164B0"/>
    <outlinePr summaryBelow="0" summaryRight="1"/>
    <pageSetUpPr/>
  </sheetPr>
  <dimension ref="A1:U73"/>
  <sheetViews>
    <sheetView showGridLines="0" workbookViewId="0">
      <selection activeCell="A1" sqref="A1"/>
    </sheetView>
  </sheetViews>
  <sheetFormatPr baseColWidth="8" defaultRowHeight="15" outlineLevelCol="0"/>
  <cols>
    <col width="2" customWidth="1" style="1" min="1" max="1"/>
    <col width="28" customWidth="1" style="1" min="2" max="2"/>
    <col width="14" customWidth="1" style="1" min="3" max="3"/>
    <col width="16" customWidth="1" style="1" min="4" max="4"/>
    <col width="16" customWidth="1" style="1" min="5" max="5"/>
    <col width="11" customWidth="1" style="1" min="6" max="6"/>
    <col width="28" customWidth="1" style="1" min="7" max="7"/>
    <col width="11" customWidth="1" style="1" min="8" max="8"/>
    <col width="16" customWidth="1" style="1" min="9" max="9"/>
    <col width="11" customWidth="1" style="1" min="10" max="10"/>
    <col width="11" customWidth="1" style="1" min="11" max="11"/>
    <col width="11" customWidth="1" style="1" min="12" max="12"/>
    <col width="11" customWidth="1" style="1" min="13" max="13"/>
    <col width="11" customWidth="1" style="1" min="14" max="14"/>
    <col width="11" customWidth="1" style="1" min="15" max="15"/>
    <col width="11" customWidth="1" style="1" min="16" max="16"/>
    <col width="11" customWidth="1" style="1" min="17" max="17"/>
    <col width="11" customWidth="1" style="1" min="18" max="18"/>
    <col width="11" customWidth="1" style="1" min="19" max="19"/>
    <col width="11" customWidth="1" style="1" min="20" max="20"/>
    <col width="13" customWidth="1" style="1" min="21" max="21"/>
    <col width="13" customWidth="1" style="1" min="22" max="22"/>
    <col width="13" customWidth="1" style="1" min="23" max="23"/>
    <col width="13" customWidth="1" style="1" min="24" max="24"/>
    <col width="13" customWidth="1" style="1" min="25" max="25"/>
    <col width="13" customWidth="1" style="1" min="26" max="26"/>
    <col width="13" customWidth="1" style="1" min="27" max="27"/>
    <col width="13" customWidth="1" style="1" min="28" max="28"/>
    <col width="13" customWidth="1" style="1" min="29" max="29"/>
    <col width="13" customWidth="1" style="1" min="30" max="30"/>
    <col width="13" customWidth="1" style="1" min="31" max="31"/>
    <col width="13" customWidth="1" style="1" min="32" max="32"/>
    <col width="13" customWidth="1" style="1" min="33" max="33"/>
    <col width="13" customWidth="1" style="1" min="34" max="34"/>
    <col width="13" customWidth="1" style="1" min="35" max="35"/>
    <col width="13" customWidth="1" style="1" min="36" max="36"/>
    <col width="13" customWidth="1" style="1" min="37" max="37"/>
    <col width="13" customWidth="1" style="1" min="38" max="38"/>
    <col width="13" customWidth="1" style="1" min="39" max="39"/>
    <col width="13" customWidth="1" style="1" min="40" max="40"/>
    <col width="13" customWidth="1" style="1" min="41" max="41"/>
    <col width="13" customWidth="1" style="1" min="42" max="42"/>
    <col width="13" customWidth="1" style="1" min="43" max="43"/>
    <col width="13" customWidth="1" style="1" min="44" max="44"/>
    <col width="13" customWidth="1" style="1" min="45" max="45"/>
    <col width="13" customWidth="1" style="1" min="46" max="46"/>
    <col width="13" customWidth="1" style="1" min="47" max="47"/>
    <col width="13" customWidth="1" style="1" min="48" max="48"/>
    <col width="13" customWidth="1" style="1" min="49" max="49"/>
    <col width="13" customWidth="1" style="1" min="50" max="50"/>
  </cols>
  <sheetData>
    <row r="1" ht="46" customHeight="1">
      <c r="A1" s="1" t="n"/>
      <c r="B1" s="2" t="n"/>
      <c r="C1" s="1" t="n"/>
      <c r="D1" s="3">
        <f>IF('Summary &amp; Assumptions'!$C$6="",IFERROR(LEFT('Summary &amp; Assumptions'!$C$7,FIND(",",'Summary &amp; Assumptions'!$C$7)-1),'Summary &amp; Assumptions'!$C$7),'Summary &amp; Assumptions'!$C$6)&amp;", "&amp;'Summary &amp; Assumptions'!$C$8&amp;", "&amp;'Summary &amp; Assumptions'!$C$9&amp;" - "&amp;'Summary &amp; Assumptions'!$C$11&amp;" Units - Built in "&amp;'Summary &amp; Assumptions'!$C$12</f>
        <v/>
      </c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</row>
    <row r="2">
      <c r="A2" s="1" t="n"/>
      <c r="B2" s="4" t="inlineStr">
        <is>
          <t>Executive Summary</t>
        </is>
      </c>
      <c r="C2" s="1" t="n"/>
      <c r="D2" s="5" t="inlineStr">
        <is>
          <t>View Dashboard on Slung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</row>
    <row r="3">
      <c r="A3" s="1" t="n"/>
      <c r="B3" s="82">
        <f>IF('Summary &amp; Assumptions'!$C$6="","",'Summary &amp; Assumptions'!$C$6&amp;" — "&amp;'Summary &amp; Assumptions'!$C$8&amp;", "&amp;'Summary &amp; Assumptions'!$C$9)</f>
        <v/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  <c r="U4" s="1" t="n"/>
    </row>
    <row r="5">
      <c r="A5" s="1" t="n"/>
      <c r="B5" s="6" t="inlineStr">
        <is>
          <t>Property</t>
        </is>
      </c>
      <c r="C5" s="7" t="n"/>
      <c r="D5" s="7" t="n"/>
      <c r="E5" s="7" t="n"/>
      <c r="F5" s="1" t="n"/>
      <c r="G5" s="6" t="inlineStr">
        <is>
          <t>Pricing</t>
        </is>
      </c>
      <c r="H5" s="7" t="n"/>
      <c r="I5" s="7" t="n"/>
      <c r="J5" s="7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</row>
    <row r="6">
      <c r="A6" s="1" t="n"/>
      <c r="B6" s="8" t="inlineStr">
        <is>
          <t>Units</t>
        </is>
      </c>
      <c r="C6" s="1" t="n"/>
      <c r="D6" s="70">
        <f>'Summary &amp; Assumptions'!$C$11</f>
        <v/>
      </c>
      <c r="E6" s="1" t="n"/>
      <c r="F6" s="1" t="n"/>
      <c r="G6" s="8" t="inlineStr">
        <is>
          <t>Purchase Price</t>
        </is>
      </c>
      <c r="H6" s="1" t="n"/>
      <c r="I6" s="26">
        <f>'Summary &amp; Assumptions'!$H$6</f>
        <v/>
      </c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n"/>
      <c r="U6" s="1" t="n"/>
    </row>
    <row r="7">
      <c r="A7" s="1" t="n"/>
      <c r="B7" s="8" t="inlineStr">
        <is>
          <t>Year Built</t>
        </is>
      </c>
      <c r="C7" s="1" t="n"/>
      <c r="D7" s="71">
        <f>'Summary &amp; Assumptions'!$C$12</f>
        <v/>
      </c>
      <c r="E7" s="1" t="n"/>
      <c r="F7" s="1" t="n"/>
      <c r="G7" s="8" t="inlineStr">
        <is>
          <t>Price / Unit</t>
        </is>
      </c>
      <c r="H7" s="1" t="n"/>
      <c r="I7" s="26">
        <f>IFERROR('Summary &amp; Assumptions'!$H$6/'Summary &amp; Assumptions'!$C$11,0)</f>
        <v/>
      </c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</row>
    <row r="8">
      <c r="A8" s="1" t="n"/>
      <c r="B8" s="8" t="inlineStr">
        <is>
          <t>Rentable SF</t>
        </is>
      </c>
      <c r="C8" s="1" t="n"/>
      <c r="D8" s="70">
        <f>'Summary &amp; Assumptions'!$C$16</f>
        <v/>
      </c>
      <c r="E8" s="1" t="n"/>
      <c r="F8" s="1" t="n"/>
      <c r="G8" s="8" t="inlineStr">
        <is>
          <t>Price / SF</t>
        </is>
      </c>
      <c r="H8" s="1" t="n"/>
      <c r="I8" s="84">
        <f>IFERROR('Summary &amp; Assumptions'!$H$6/'Summary &amp; Assumptions'!$C$16,0)</f>
        <v/>
      </c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  <c r="T8" s="1" t="n"/>
      <c r="U8" s="1" t="n"/>
    </row>
    <row r="9">
      <c r="A9" s="1" t="n"/>
      <c r="B9" s="8" t="inlineStr">
        <is>
          <t>Avg In-Place Rent</t>
        </is>
      </c>
      <c r="C9" s="1" t="n"/>
      <c r="D9" s="26">
        <f>'UnitMix'!$H$31</f>
        <v/>
      </c>
      <c r="E9" s="1" t="n"/>
      <c r="F9" s="1" t="n"/>
      <c r="G9" s="8" t="inlineStr">
        <is>
          <t>Going-In Cap Rate (Selected NOI)</t>
        </is>
      </c>
      <c r="H9" s="1" t="n"/>
      <c r="I9" s="23">
        <f>'Summary &amp; Assumptions'!$H$7</f>
        <v/>
      </c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</row>
    <row r="10">
      <c r="A10" s="1" t="n"/>
      <c r="B10" s="8" t="inlineStr">
        <is>
          <t>Avg Market Rent</t>
        </is>
      </c>
      <c r="C10" s="1" t="n"/>
      <c r="D10" s="26">
        <f>'UnitMix'!$I$31</f>
        <v/>
      </c>
      <c r="E10" s="1" t="n"/>
      <c r="F10" s="1" t="n"/>
      <c r="G10" s="8" t="inlineStr">
        <is>
          <t>Exit Cap Rate</t>
        </is>
      </c>
      <c r="H10" s="1" t="n"/>
      <c r="I10" s="23">
        <f>'Summary &amp; Assumptions'!$M$8</f>
        <v/>
      </c>
      <c r="J10" s="1" t="n"/>
      <c r="K10" s="1" t="n"/>
      <c r="L10" s="1" t="n"/>
      <c r="M10" s="1" t="n"/>
      <c r="N10" s="1" t="n"/>
      <c r="O10" s="1" t="n"/>
      <c r="P10" s="1" t="n"/>
      <c r="Q10" s="1" t="n"/>
      <c r="R10" s="1" t="n"/>
      <c r="S10" s="1" t="n"/>
      <c r="T10" s="1" t="n"/>
      <c r="U10" s="1" t="n"/>
    </row>
    <row r="11">
      <c r="A11" s="1" t="n"/>
      <c r="B11" s="8" t="inlineStr">
        <is>
          <t>Embedded Loss-to-Lease / mo</t>
        </is>
      </c>
      <c r="C11" s="1" t="n"/>
      <c r="D11" s="26">
        <f>'UnitMix'!$J$31</f>
        <v/>
      </c>
      <c r="E11" s="1" t="n"/>
      <c r="F11" s="1" t="n"/>
      <c r="G11" s="8" t="inlineStr">
        <is>
          <t>Gross Exit Price</t>
        </is>
      </c>
      <c r="H11" s="1" t="n"/>
      <c r="I11" s="26">
        <f>'Summary &amp; Assumptions'!$N$8</f>
        <v/>
      </c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</row>
    <row r="12">
      <c r="A12" s="1" t="n"/>
      <c r="B12" s="8" t="inlineStr">
        <is>
          <t>Hold Period</t>
        </is>
      </c>
      <c r="C12" s="1" t="n"/>
      <c r="D12" s="74">
        <f>'Summary &amp; Assumptions'!$C$23&amp;" years"</f>
        <v/>
      </c>
      <c r="E12" s="1" t="n"/>
      <c r="F12" s="1" t="n"/>
      <c r="G12" s="8" t="inlineStr">
        <is>
          <t>All-In Basis (price+costs+capex)</t>
        </is>
      </c>
      <c r="H12" s="1" t="n"/>
      <c r="I12" s="26">
        <f>'Summary &amp; Assumptions'!$H$6+'Summary &amp; Assumptions'!$H$13+'Renovation'!$D$31</f>
        <v/>
      </c>
      <c r="J12" s="1" t="n"/>
      <c r="K12" s="1" t="n"/>
      <c r="L12" s="1" t="n"/>
      <c r="M12" s="1" t="n"/>
      <c r="N12" s="1" t="n"/>
      <c r="O12" s="1" t="n"/>
      <c r="P12" s="1" t="n"/>
      <c r="Q12" s="1" t="n"/>
      <c r="R12" s="1" t="n"/>
      <c r="S12" s="1" t="n"/>
      <c r="T12" s="1" t="n"/>
      <c r="U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  <c r="T13" s="1" t="n"/>
      <c r="U13" s="1" t="n"/>
    </row>
    <row r="14">
      <c r="A14" s="1" t="n"/>
      <c r="B14" s="1" t="n"/>
      <c r="C14" s="1" t="n"/>
      <c r="D14" s="1" t="n"/>
      <c r="E14" s="1" t="n"/>
      <c r="F14" s="1" t="n"/>
      <c r="G14" s="1" t="n"/>
      <c r="H14" s="1" t="n"/>
      <c r="I14" s="1" t="n"/>
      <c r="J14" s="1" t="n"/>
      <c r="K14" s="1" t="n"/>
      <c r="L14" s="1" t="n"/>
      <c r="M14" s="1" t="n"/>
      <c r="N14" s="1" t="n"/>
      <c r="O14" s="1" t="n"/>
      <c r="P14" s="1" t="n"/>
      <c r="Q14" s="1" t="n"/>
      <c r="R14" s="1" t="n"/>
      <c r="S14" s="1" t="n"/>
      <c r="T14" s="1" t="n"/>
      <c r="U14" s="1" t="n"/>
    </row>
    <row r="15">
      <c r="A15" s="1" t="n"/>
      <c r="B15" s="6" t="inlineStr">
        <is>
          <t>Returns</t>
        </is>
      </c>
      <c r="C15" s="7" t="n"/>
      <c r="D15" s="7" t="n"/>
      <c r="E15" s="7" t="n"/>
      <c r="F15" s="7" t="n"/>
      <c r="G15" s="7" t="n"/>
      <c r="H15" s="7" t="n"/>
      <c r="I15" s="7" t="n"/>
      <c r="J15" s="7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</row>
    <row r="16">
      <c r="A16" s="1" t="n"/>
      <c r="B16" s="17" t="inlineStr"/>
      <c r="C16" s="17" t="inlineStr">
        <is>
          <t>IRR</t>
        </is>
      </c>
      <c r="D16" s="17" t="inlineStr">
        <is>
          <t>Equity Multiple</t>
        </is>
      </c>
      <c r="E16" s="17" t="inlineStr">
        <is>
          <t>Simple Avg Return</t>
        </is>
      </c>
      <c r="F16" s="1" t="n"/>
      <c r="G16" s="17" t="inlineStr">
        <is>
          <t>Avg Cash-on-Cash</t>
        </is>
      </c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  <c r="T16" s="1" t="n"/>
      <c r="U16" s="1" t="n"/>
    </row>
    <row r="17">
      <c r="A17" s="1" t="n"/>
      <c r="B17" s="8" t="inlineStr">
        <is>
          <t>Unlevered (project)</t>
        </is>
      </c>
      <c r="C17" s="23">
        <f>'CashFlow'!$D$32</f>
        <v/>
      </c>
      <c r="D17" s="25">
        <f>'Summary &amp; Assumptions'!$G$23</f>
        <v/>
      </c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  <c r="T17" s="1" t="n"/>
      <c r="U17" s="1" t="n"/>
    </row>
    <row r="18">
      <c r="A18" s="1" t="n"/>
      <c r="B18" s="8" t="inlineStr">
        <is>
          <t>Levered (project, gross)</t>
        </is>
      </c>
      <c r="C18" s="23">
        <f>'CashFlow'!$D$41</f>
        <v/>
      </c>
      <c r="D18" s="25">
        <f>'Summary &amp; Assumptions'!$H$23</f>
        <v/>
      </c>
      <c r="E18" s="23">
        <f>'Summary &amp; Assumptions'!$H$24</f>
        <v/>
      </c>
      <c r="F18" s="1" t="n"/>
      <c r="G18" s="23">
        <f>'Summary &amp; Assumptions'!$H$25</f>
        <v/>
      </c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  <c r="T18" s="1" t="n"/>
      <c r="U18" s="1" t="n"/>
    </row>
    <row r="19">
      <c r="A19" s="1" t="n"/>
      <c r="B19" s="8" t="inlineStr">
        <is>
          <t>LP (net of fees + promote)</t>
        </is>
      </c>
      <c r="C19" s="23">
        <f>'Investor Waterfall'!$D$45</f>
        <v/>
      </c>
      <c r="D19" s="25">
        <f>'Investor Waterfall'!$D$46</f>
        <v/>
      </c>
      <c r="E19" s="23">
        <f>'Investor Waterfall'!$D$48</f>
        <v/>
      </c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  <c r="U19" s="1" t="n"/>
    </row>
    <row r="20">
      <c r="A20" s="1" t="n"/>
      <c r="B20" s="8" t="inlineStr">
        <is>
          <t>GP (equity + promote)</t>
        </is>
      </c>
      <c r="C20" s="23">
        <f>'Investor Waterfall'!$I$45</f>
        <v/>
      </c>
      <c r="D20" s="25">
        <f>'Investor Waterfall'!$I$46</f>
        <v/>
      </c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  <c r="T21" s="1" t="n"/>
      <c r="U21" s="1" t="n"/>
    </row>
    <row r="22">
      <c r="A22" s="1" t="n"/>
      <c r="B22" s="6" t="inlineStr">
        <is>
          <t>Deal Quality (napkin)</t>
        </is>
      </c>
      <c r="C22" s="7" t="n"/>
      <c r="D22" s="7" t="n"/>
      <c r="E22" s="7" t="n"/>
      <c r="F22" s="1" t="n"/>
      <c r="G22" s="6" t="inlineStr">
        <is>
          <t>Debt &amp; Risk</t>
        </is>
      </c>
      <c r="H22" s="7" t="n"/>
      <c r="I22" s="7" t="n"/>
      <c r="J22" s="7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</row>
    <row r="23">
      <c r="A23" s="1" t="n"/>
      <c r="B23" s="8" t="inlineStr">
        <is>
          <t>Yield-on-Cost (untrended)</t>
        </is>
      </c>
      <c r="C23" s="1" t="n"/>
      <c r="D23" s="23">
        <f>'CashFlow'!$D$51</f>
        <v/>
      </c>
      <c r="E23" s="1" t="n"/>
      <c r="F23" s="1" t="n"/>
      <c r="G23" s="8" t="inlineStr">
        <is>
          <t>Senior Loan</t>
        </is>
      </c>
      <c r="H23" s="1" t="n"/>
      <c r="I23" s="26">
        <f>'Summary &amp; Assumptions'!$C$34</f>
        <v/>
      </c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</row>
    <row r="24">
      <c r="A24" s="1" t="n"/>
      <c r="B24" s="8" t="inlineStr">
        <is>
          <t>YoC Spread vs Exit Cap</t>
        </is>
      </c>
      <c r="C24" s="1" t="n"/>
      <c r="D24" s="23">
        <f>'CashFlow'!$D$51-'Summary &amp; Assumptions'!$M$8</f>
        <v/>
      </c>
      <c r="E24" s="1" t="n"/>
      <c r="F24" s="1" t="n"/>
      <c r="G24" s="8" t="inlineStr">
        <is>
          <t>LTV (senior / price)</t>
        </is>
      </c>
      <c r="H24" s="1" t="n"/>
      <c r="I24" s="31">
        <f>IFERROR('Summary &amp; Assumptions'!$C$34/'Summary &amp; Assumptions'!$H$6,0)</f>
        <v/>
      </c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</row>
    <row r="25">
      <c r="A25" s="1" t="n"/>
      <c r="B25" s="8" t="inlineStr">
        <is>
          <t>Yield-on-Cost (trended)</t>
        </is>
      </c>
      <c r="C25" s="1" t="n"/>
      <c r="D25" s="23">
        <f>'CashFlow'!$D$52</f>
        <v/>
      </c>
      <c r="E25" s="1" t="n"/>
      <c r="F25" s="1" t="n"/>
      <c r="G25" s="8" t="inlineStr">
        <is>
          <t>DSCR (Year 1)</t>
        </is>
      </c>
      <c r="H25" s="1" t="n"/>
      <c r="I25" s="25">
        <f>INDEX('CashFlow'!$F$45:$T$45,1,1)</f>
        <v/>
      </c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</row>
    <row r="26">
      <c r="A26" s="1" t="n"/>
      <c r="B26" s="8" t="inlineStr">
        <is>
          <t>Reno Budget</t>
        </is>
      </c>
      <c r="C26" s="1" t="n"/>
      <c r="D26" s="26">
        <f>'Renovation'!$D$31</f>
        <v/>
      </c>
      <c r="E26" s="1" t="n"/>
      <c r="F26" s="1" t="n"/>
      <c r="G26" s="8" t="inlineStr">
        <is>
          <t>Debt Yield (Year 1)</t>
        </is>
      </c>
      <c r="H26" s="1" t="n"/>
      <c r="I26" s="23">
        <f>INDEX('CashFlow'!$F$46:$T$46,1,1)</f>
        <v/>
      </c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</row>
    <row r="27">
      <c r="A27" s="1" t="n"/>
      <c r="B27" s="8" t="inlineStr">
        <is>
          <t>Reno Simple ROI</t>
        </is>
      </c>
      <c r="C27" s="1" t="n"/>
      <c r="D27" s="28">
        <f>'Renovation'!$O$16</f>
        <v/>
      </c>
      <c r="E27" s="1" t="n"/>
      <c r="F27" s="1" t="n"/>
      <c r="G27" s="8" t="inlineStr">
        <is>
          <t>Break-Even Occupancy</t>
        </is>
      </c>
      <c r="H27" s="1" t="n"/>
      <c r="I27" s="23">
        <f>'CashFlow'!$D$56</f>
        <v/>
      </c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</row>
    <row r="28">
      <c r="A28" s="1" t="n"/>
      <c r="B28" s="8" t="inlineStr">
        <is>
          <t>Expense Ratio (Yr 1)</t>
        </is>
      </c>
      <c r="C28" s="1" t="n"/>
      <c r="D28" s="28">
        <f>IFERROR(-INDEX('CashFlow'!$F$21:$T$21,1,1)/INDEX('CashFlow'!$F$16:$T$16,1,1),0)</f>
        <v/>
      </c>
      <c r="E28" s="1" t="n"/>
      <c r="F28" s="1" t="n"/>
      <c r="G28" s="8" t="inlineStr">
        <is>
          <t>Total Equity Required</t>
        </is>
      </c>
      <c r="H28" s="1" t="n"/>
      <c r="I28" s="26">
        <f>'Summary &amp; Assumptions'!$C$73</f>
        <v/>
      </c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</row>
    <row r="30">
      <c r="A30" s="1" t="n"/>
      <c r="B30" s="6" t="inlineStr">
        <is>
          <t>Sources</t>
        </is>
      </c>
      <c r="C30" s="7" t="n"/>
      <c r="D30" s="7" t="n"/>
      <c r="E30" s="7" t="n"/>
      <c r="F30" s="1" t="n"/>
      <c r="G30" s="6" t="inlineStr">
        <is>
          <t>Uses</t>
        </is>
      </c>
      <c r="H30" s="7" t="n"/>
      <c r="I30" s="7" t="n"/>
      <c r="J30" s="7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</row>
    <row r="31">
      <c r="A31" s="1" t="n"/>
      <c r="B31" s="8" t="inlineStr">
        <is>
          <t>Equity — GP</t>
        </is>
      </c>
      <c r="C31" s="1" t="n"/>
      <c r="D31" s="26">
        <f>'Summary &amp; Assumptions'!$C$66</f>
        <v/>
      </c>
      <c r="E31" s="1" t="n"/>
      <c r="F31" s="1" t="n"/>
      <c r="G31" s="8" t="inlineStr">
        <is>
          <t>Purchase Price</t>
        </is>
      </c>
      <c r="H31" s="1" t="n"/>
      <c r="I31" s="26">
        <f>'Summary &amp; Assumptions'!$H$6</f>
        <v/>
      </c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</row>
    <row r="32">
      <c r="A32" s="1" t="n"/>
      <c r="B32" s="8" t="inlineStr">
        <is>
          <t>Equity — LP</t>
        </is>
      </c>
      <c r="C32" s="1" t="n"/>
      <c r="D32" s="26">
        <f>'Summary &amp; Assumptions'!$C$67</f>
        <v/>
      </c>
      <c r="E32" s="1" t="n"/>
      <c r="F32" s="1" t="n"/>
      <c r="G32" s="8" t="inlineStr">
        <is>
          <t>Acquisition Costs</t>
        </is>
      </c>
      <c r="H32" s="1" t="n"/>
      <c r="I32" s="26">
        <f>'Summary &amp; Assumptions'!$H$13</f>
        <v/>
      </c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</row>
    <row r="33">
      <c r="A33" s="1" t="n"/>
      <c r="B33" s="8" t="inlineStr">
        <is>
          <t>Debt at Close</t>
        </is>
      </c>
      <c r="C33" s="1" t="n"/>
      <c r="D33" s="26">
        <f>'Summary &amp; Assumptions'!$C$68+'Summary &amp; Assumptions'!$C$69+'Summary &amp; Assumptions'!$C$70</f>
        <v/>
      </c>
      <c r="E33" s="1" t="n"/>
      <c r="F33" s="1" t="n"/>
      <c r="G33" s="8" t="inlineStr">
        <is>
          <t>Financing Fees + Reserves</t>
        </is>
      </c>
      <c r="H33" s="1" t="n"/>
      <c r="I33" s="26">
        <f>'Summary &amp; Assumptions'!$H$68+'Summary &amp; Assumptions'!$H$69</f>
        <v/>
      </c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</row>
    <row r="34">
      <c r="A34" s="1" t="n"/>
      <c r="B34" s="8" t="inlineStr">
        <is>
          <t>Total Sources</t>
        </is>
      </c>
      <c r="C34" s="1" t="n"/>
      <c r="D34" s="62">
        <f>'Summary &amp; Assumptions'!$C$71</f>
        <v/>
      </c>
      <c r="E34" s="1" t="n"/>
      <c r="F34" s="1" t="n"/>
      <c r="G34" s="8" t="inlineStr">
        <is>
          <t>Total Uses</t>
        </is>
      </c>
      <c r="H34" s="1" t="n"/>
      <c r="I34" s="62">
        <f>'Summary &amp; Assumptions'!$H$71</f>
        <v/>
      </c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</row>
    <row r="36">
      <c r="A36" s="1" t="n"/>
      <c r="B36" s="6" t="inlineStr">
        <is>
          <t>Pricing Range (High / Strike / Low)</t>
        </is>
      </c>
      <c r="C36" s="7" t="n"/>
      <c r="D36" s="7" t="n"/>
      <c r="E36" s="7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  <c r="U36" s="1" t="n"/>
    </row>
    <row r="37">
      <c r="A37" s="1" t="n"/>
      <c r="B37" s="8" t="inlineStr">
        <is>
          <t>Cap-Rate Spread (±)</t>
        </is>
      </c>
      <c r="C37" s="13" t="n">
        <v>0.0025</v>
      </c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  <c r="T37" s="1" t="n"/>
      <c r="U37" s="1" t="n"/>
    </row>
    <row r="38">
      <c r="A38" s="1" t="n"/>
      <c r="B38" s="1" t="n"/>
      <c r="C38" s="22" t="inlineStr">
        <is>
          <t>HIGH</t>
        </is>
      </c>
      <c r="D38" s="22" t="inlineStr">
        <is>
          <t>STRIKE</t>
        </is>
      </c>
      <c r="E38" s="22" t="inlineStr">
        <is>
          <t>LOW</t>
        </is>
      </c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</row>
    <row r="39">
      <c r="A39" s="1" t="n"/>
      <c r="B39" s="17" t="inlineStr">
        <is>
          <t>Price</t>
        </is>
      </c>
      <c r="C39" s="26">
        <f>IFERROR('P&amp;L'!$Z$69/('Summary &amp; Assumptions'!$H$7-'Summary'!$C$37),0)</f>
        <v/>
      </c>
      <c r="D39" s="26">
        <f>'Summary &amp; Assumptions'!$H$6</f>
        <v/>
      </c>
      <c r="E39" s="26">
        <f>IFERROR('P&amp;L'!$Z$69/('Summary &amp; Assumptions'!$H$7+'Summary'!$C$37),0)</f>
        <v/>
      </c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  <c r="U39" s="1" t="n"/>
    </row>
    <row r="40">
      <c r="A40" s="1" t="n"/>
      <c r="B40" s="8" t="inlineStr">
        <is>
          <t>Price / Unit</t>
        </is>
      </c>
      <c r="C40" s="26">
        <f>IFERROR(C39/'Summary &amp; Assumptions'!$C$11,0)</f>
        <v/>
      </c>
      <c r="D40" s="26">
        <f>IFERROR(D39/'Summary &amp; Assumptions'!$C$11,0)</f>
        <v/>
      </c>
      <c r="E40" s="26">
        <f>IFERROR(E39/'Summary &amp; Assumptions'!$C$11,0)</f>
        <v/>
      </c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  <c r="U40" s="1" t="n"/>
    </row>
    <row r="41">
      <c r="A41" s="1" t="n"/>
      <c r="B41" s="8" t="inlineStr">
        <is>
          <t>Price / SF</t>
        </is>
      </c>
      <c r="C41" s="84">
        <f>IFERROR(C39/'Summary &amp; Assumptions'!$C$16,0)</f>
        <v/>
      </c>
      <c r="D41" s="84">
        <f>IFERROR(D39/'Summary &amp; Assumptions'!$C$16,0)</f>
        <v/>
      </c>
      <c r="E41" s="84">
        <f>IFERROR(E39/'Summary &amp; Assumptions'!$C$16,0)</f>
        <v/>
      </c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</row>
    <row r="42">
      <c r="A42" s="1" t="n"/>
      <c r="B42" s="8" t="inlineStr">
        <is>
          <t>Year-1 NOI (T12)</t>
        </is>
      </c>
      <c r="C42" s="26">
        <f>'P&amp;L'!$U$69</f>
        <v/>
      </c>
      <c r="D42" s="26">
        <f>'P&amp;L'!$U$69</f>
        <v/>
      </c>
      <c r="E42" s="26">
        <f>'P&amp;L'!$U$69</f>
        <v/>
      </c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</row>
    <row r="43">
      <c r="A43" s="1" t="n"/>
      <c r="B43" s="8" t="inlineStr">
        <is>
          <t>Going-In Cap Rate</t>
        </is>
      </c>
      <c r="C43" s="23">
        <f>IFERROR('P&amp;L'!$U$69/C39,0)</f>
        <v/>
      </c>
      <c r="D43" s="23">
        <f>IFERROR('P&amp;L'!$U$69/D39,0)</f>
        <v/>
      </c>
      <c r="E43" s="23">
        <f>IFERROR('P&amp;L'!$U$69/E39,0)</f>
        <v/>
      </c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</row>
    <row r="45">
      <c r="A45" s="1" t="n"/>
      <c r="B45" s="8" t="inlineStr">
        <is>
          <t>Levered IRR (at strike)</t>
        </is>
      </c>
      <c r="C45" s="1" t="n"/>
      <c r="D45" s="23">
        <f>'CashFlow'!$D$41</f>
        <v/>
      </c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</row>
    <row r="46">
      <c r="A46" s="1" t="n"/>
      <c r="B46" s="8" t="inlineStr">
        <is>
          <t>Unlevered IRR (at strike)</t>
        </is>
      </c>
      <c r="C46" s="1" t="n"/>
      <c r="D46" s="23">
        <f>'CashFlow'!$D$32</f>
        <v/>
      </c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</row>
    <row r="47">
      <c r="A47" s="1" t="n"/>
      <c r="B47" s="8" t="inlineStr">
        <is>
          <t>Avg Cash-on-Cash (at strike)</t>
        </is>
      </c>
      <c r="C47" s="1" t="n"/>
      <c r="D47" s="23">
        <f>'Summary &amp; Assumptions'!$H$25</f>
        <v/>
      </c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</row>
    <row r="48">
      <c r="A48" s="1" t="n"/>
      <c r="B48" s="3" t="inlineStr">
        <is>
          <t>Price/cap exact at every point; IRR &amp; CoC shown at strike only (off-strike returns need full re-pricing — use the Slung app).</t>
        </is>
      </c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</row>
    <row r="51">
      <c r="A51" s="1" t="n"/>
      <c r="B51" s="6" t="inlineStr">
        <is>
          <t>Partnership Structure</t>
        </is>
      </c>
      <c r="C51" s="7" t="n"/>
      <c r="D51" s="7" t="n"/>
      <c r="E51" s="7" t="n"/>
      <c r="F51" s="7" t="n"/>
      <c r="G51" s="7" t="n"/>
      <c r="H51" s="7" t="n"/>
      <c r="I51" s="7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</row>
    <row r="52">
      <c r="A52" s="1" t="n"/>
      <c r="B52" s="8" t="inlineStr">
        <is>
          <t>Preferred Return</t>
        </is>
      </c>
      <c r="C52" s="1" t="n"/>
      <c r="D52" s="23">
        <f>'Investor Waterfall'!$C$9</f>
        <v/>
      </c>
      <c r="E52" s="1" t="n"/>
      <c r="F52" s="1" t="n"/>
      <c r="G52" s="8" t="inlineStr">
        <is>
          <t>GP Co-Invest</t>
        </is>
      </c>
      <c r="H52" s="1" t="n"/>
      <c r="I52" s="31">
        <f>'Investor Waterfall'!$C$6</f>
        <v/>
      </c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</row>
    <row r="53">
      <c r="A53" s="1" t="n"/>
      <c r="B53" s="8" t="inlineStr">
        <is>
          <t>Pref Type</t>
        </is>
      </c>
      <c r="C53" s="1" t="n"/>
      <c r="D53" s="74">
        <f>'Investor Waterfall'!$C$10</f>
        <v/>
      </c>
      <c r="E53" s="1" t="n"/>
      <c r="F53" s="1" t="n"/>
      <c r="G53" s="8" t="inlineStr">
        <is>
          <t>Asset Mgmt Fee</t>
        </is>
      </c>
      <c r="H53" s="1" t="n"/>
      <c r="I53" s="74">
        <f>TEXT('Investor Waterfall'!$H$8,"0.00%")&amp;" "&amp;'Investor Waterfall'!$H$7</f>
        <v/>
      </c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</row>
    <row r="54">
      <c r="A54" s="1" t="n"/>
      <c r="B54" s="8" t="inlineStr">
        <is>
          <t>Waterfall</t>
        </is>
      </c>
      <c r="C54" s="1" t="n"/>
      <c r="D54" s="74">
        <f>'Investor Waterfall'!$C$8</f>
        <v/>
      </c>
      <c r="E54" s="1" t="n"/>
      <c r="F54" s="1" t="n"/>
      <c r="G54" s="8" t="inlineStr">
        <is>
          <t>Acquisition Fee</t>
        </is>
      </c>
      <c r="H54" s="1" t="n"/>
      <c r="I54" s="23">
        <f>'Investor Waterfall'!$H$6</f>
        <v/>
      </c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</row>
    <row r="56">
      <c r="A56" s="1" t="n"/>
      <c r="B56" s="6" t="inlineStr">
        <is>
          <t>If You Invest $100,000 as an LP</t>
        </is>
      </c>
      <c r="C56" s="7" t="n"/>
      <c r="D56" s="7" t="n"/>
      <c r="E56" s="7" t="n"/>
      <c r="F56" s="7" t="n"/>
      <c r="G56" s="7" t="n"/>
      <c r="H56" s="7" t="n"/>
      <c r="I56" s="7" t="n"/>
      <c r="J56" s="7" t="n"/>
      <c r="K56" s="7" t="n"/>
      <c r="L56" s="7" t="n"/>
      <c r="M56" s="7" t="n"/>
      <c r="N56" s="7" t="n"/>
      <c r="O56" s="7" t="n"/>
      <c r="P56" s="7" t="n"/>
      <c r="Q56" s="7" t="n"/>
      <c r="R56" s="7" t="n"/>
      <c r="S56" s="1" t="n"/>
      <c r="T56" s="1" t="n"/>
      <c r="U56" s="1" t="n"/>
    </row>
    <row r="57">
      <c r="A57" s="1" t="n"/>
      <c r="B57" s="8" t="inlineStr"/>
      <c r="C57" s="1" t="n"/>
      <c r="D57" s="1" t="n"/>
      <c r="E57" s="1" t="n"/>
      <c r="F57" s="22">
        <f>IF(1&gt;'Summary &amp; Assumptions'!$C$23,"","Year 1")</f>
        <v/>
      </c>
      <c r="G57" s="22">
        <f>IF(2&gt;'Summary &amp; Assumptions'!$C$23,"","Year 2")</f>
        <v/>
      </c>
      <c r="H57" s="22">
        <f>IF(3&gt;'Summary &amp; Assumptions'!$C$23,"","Year 3")</f>
        <v/>
      </c>
      <c r="I57" s="22">
        <f>IF(4&gt;'Summary &amp; Assumptions'!$C$23,"","Year 4")</f>
        <v/>
      </c>
      <c r="J57" s="22">
        <f>IF(5&gt;'Summary &amp; Assumptions'!$C$23,"","Year 5")</f>
        <v/>
      </c>
      <c r="K57" s="22">
        <f>IF(6&gt;'Summary &amp; Assumptions'!$C$23,"","Year 6")</f>
        <v/>
      </c>
      <c r="L57" s="22">
        <f>IF(7&gt;'Summary &amp; Assumptions'!$C$23,"","Year 7")</f>
        <v/>
      </c>
      <c r="M57" s="22">
        <f>IF(8&gt;'Summary &amp; Assumptions'!$C$23,"","Year 8")</f>
        <v/>
      </c>
      <c r="N57" s="22">
        <f>IF(9&gt;'Summary &amp; Assumptions'!$C$23,"","Year 9")</f>
        <v/>
      </c>
      <c r="O57" s="22">
        <f>IF(10&gt;'Summary &amp; Assumptions'!$C$23,"","Year 10")</f>
        <v/>
      </c>
      <c r="P57" s="22">
        <f>IF(11&gt;'Summary &amp; Assumptions'!$C$23,"","Year 11")</f>
        <v/>
      </c>
      <c r="Q57" s="22">
        <f>IF(12&gt;'Summary &amp; Assumptions'!$C$23,"","Year 12")</f>
        <v/>
      </c>
      <c r="R57" s="22">
        <f>IF(13&gt;'Summary &amp; Assumptions'!$C$23,"","Year 13")</f>
        <v/>
      </c>
      <c r="S57" s="22">
        <f>IF(14&gt;'Summary &amp; Assumptions'!$C$23,"","Year 14")</f>
        <v/>
      </c>
      <c r="T57" s="22">
        <f>IF(15&gt;'Summary &amp; Assumptions'!$C$23,"","Year 15")</f>
        <v/>
      </c>
      <c r="U57" s="1" t="n"/>
    </row>
    <row r="58">
      <c r="A58" s="1" t="n"/>
      <c r="B58" s="8" t="inlineStr">
        <is>
          <t>Annual Distribution</t>
        </is>
      </c>
      <c r="C58" s="1" t="n"/>
      <c r="D58" s="1" t="n"/>
      <c r="E58" s="1" t="n"/>
      <c r="F58" s="72">
        <f>IF(1&gt;'Summary &amp; Assumptions'!$C$23,"",IFERROR('Investor Waterfall'!F40*100000/MAX(1,'Summary &amp; Assumptions'!$C$67),0))</f>
        <v/>
      </c>
      <c r="G58" s="72">
        <f>IF(2&gt;'Summary &amp; Assumptions'!$C$23,"",IFERROR('Investor Waterfall'!G40*100000/MAX(1,'Summary &amp; Assumptions'!$C$67),0))</f>
        <v/>
      </c>
      <c r="H58" s="72">
        <f>IF(3&gt;'Summary &amp; Assumptions'!$C$23,"",IFERROR('Investor Waterfall'!H40*100000/MAX(1,'Summary &amp; Assumptions'!$C$67),0))</f>
        <v/>
      </c>
      <c r="I58" s="72">
        <f>IF(4&gt;'Summary &amp; Assumptions'!$C$23,"",IFERROR('Investor Waterfall'!I40*100000/MAX(1,'Summary &amp; Assumptions'!$C$67),0))</f>
        <v/>
      </c>
      <c r="J58" s="72">
        <f>IF(5&gt;'Summary &amp; Assumptions'!$C$23,"",IFERROR('Investor Waterfall'!J40*100000/MAX(1,'Summary &amp; Assumptions'!$C$67),0))</f>
        <v/>
      </c>
      <c r="K58" s="72">
        <f>IF(6&gt;'Summary &amp; Assumptions'!$C$23,"",IFERROR('Investor Waterfall'!K40*100000/MAX(1,'Summary &amp; Assumptions'!$C$67),0))</f>
        <v/>
      </c>
      <c r="L58" s="72">
        <f>IF(7&gt;'Summary &amp; Assumptions'!$C$23,"",IFERROR('Investor Waterfall'!L40*100000/MAX(1,'Summary &amp; Assumptions'!$C$67),0))</f>
        <v/>
      </c>
      <c r="M58" s="72">
        <f>IF(8&gt;'Summary &amp; Assumptions'!$C$23,"",IFERROR('Investor Waterfall'!M40*100000/MAX(1,'Summary &amp; Assumptions'!$C$67),0))</f>
        <v/>
      </c>
      <c r="N58" s="72">
        <f>IF(9&gt;'Summary &amp; Assumptions'!$C$23,"",IFERROR('Investor Waterfall'!N40*100000/MAX(1,'Summary &amp; Assumptions'!$C$67),0))</f>
        <v/>
      </c>
      <c r="O58" s="72">
        <f>IF(10&gt;'Summary &amp; Assumptions'!$C$23,"",IFERROR('Investor Waterfall'!O40*100000/MAX(1,'Summary &amp; Assumptions'!$C$67),0))</f>
        <v/>
      </c>
      <c r="P58" s="72">
        <f>IF(11&gt;'Summary &amp; Assumptions'!$C$23,"",IFERROR('Investor Waterfall'!P40*100000/MAX(1,'Summary &amp; Assumptions'!$C$67),0))</f>
        <v/>
      </c>
      <c r="Q58" s="72">
        <f>IF(12&gt;'Summary &amp; Assumptions'!$C$23,"",IFERROR('Investor Waterfall'!Q40*100000/MAX(1,'Summary &amp; Assumptions'!$C$67),0))</f>
        <v/>
      </c>
      <c r="R58" s="72">
        <f>IF(13&gt;'Summary &amp; Assumptions'!$C$23,"",IFERROR('Investor Waterfall'!R40*100000/MAX(1,'Summary &amp; Assumptions'!$C$67),0))</f>
        <v/>
      </c>
      <c r="S58" s="72">
        <f>IF(14&gt;'Summary &amp; Assumptions'!$C$23,"",IFERROR('Investor Waterfall'!S40*100000/MAX(1,'Summary &amp; Assumptions'!$C$67),0))</f>
        <v/>
      </c>
      <c r="T58" s="72">
        <f>IF(15&gt;'Summary &amp; Assumptions'!$C$23,"",IFERROR('Investor Waterfall'!T40*100000/MAX(1,'Summary &amp; Assumptions'!$C$67),0))</f>
        <v/>
      </c>
      <c r="U58" s="1" t="n"/>
    </row>
    <row r="59">
      <c r="A59" s="1" t="n"/>
      <c r="B59" s="8" t="inlineStr">
        <is>
          <t>Cumulative</t>
        </is>
      </c>
      <c r="C59" s="1" t="n"/>
      <c r="D59" s="1" t="n"/>
      <c r="E59" s="1" t="n"/>
      <c r="F59" s="72">
        <f>IF(1&gt;'Summary &amp; Assumptions'!$C$23,"",F58)</f>
        <v/>
      </c>
      <c r="G59" s="72">
        <f>IF(2&gt;'Summary &amp; Assumptions'!$C$23,"",G58+F59)</f>
        <v/>
      </c>
      <c r="H59" s="72">
        <f>IF(3&gt;'Summary &amp; Assumptions'!$C$23,"",H58+G59)</f>
        <v/>
      </c>
      <c r="I59" s="72">
        <f>IF(4&gt;'Summary &amp; Assumptions'!$C$23,"",I58+H59)</f>
        <v/>
      </c>
      <c r="J59" s="72">
        <f>IF(5&gt;'Summary &amp; Assumptions'!$C$23,"",J58+I59)</f>
        <v/>
      </c>
      <c r="K59" s="72">
        <f>IF(6&gt;'Summary &amp; Assumptions'!$C$23,"",K58+J59)</f>
        <v/>
      </c>
      <c r="L59" s="72">
        <f>IF(7&gt;'Summary &amp; Assumptions'!$C$23,"",L58+K59)</f>
        <v/>
      </c>
      <c r="M59" s="72">
        <f>IF(8&gt;'Summary &amp; Assumptions'!$C$23,"",M58+L59)</f>
        <v/>
      </c>
      <c r="N59" s="72">
        <f>IF(9&gt;'Summary &amp; Assumptions'!$C$23,"",N58+M59)</f>
        <v/>
      </c>
      <c r="O59" s="72">
        <f>IF(10&gt;'Summary &amp; Assumptions'!$C$23,"",O58+N59)</f>
        <v/>
      </c>
      <c r="P59" s="72">
        <f>IF(11&gt;'Summary &amp; Assumptions'!$C$23,"",P58+O59)</f>
        <v/>
      </c>
      <c r="Q59" s="72">
        <f>IF(12&gt;'Summary &amp; Assumptions'!$C$23,"",Q58+P59)</f>
        <v/>
      </c>
      <c r="R59" s="72">
        <f>IF(13&gt;'Summary &amp; Assumptions'!$C$23,"",R58+Q59)</f>
        <v/>
      </c>
      <c r="S59" s="72">
        <f>IF(14&gt;'Summary &amp; Assumptions'!$C$23,"",S58+R59)</f>
        <v/>
      </c>
      <c r="T59" s="72">
        <f>IF(15&gt;'Summary &amp; Assumptions'!$C$23,"",T58+S59)</f>
        <v/>
      </c>
      <c r="U59" s="1" t="n"/>
    </row>
    <row r="60">
      <c r="A60" s="1" t="n"/>
      <c r="B60" s="8" t="inlineStr">
        <is>
          <t>Cash Yield on $100k</t>
        </is>
      </c>
      <c r="C60" s="1" t="n"/>
      <c r="D60" s="1" t="n"/>
      <c r="E60" s="1" t="n"/>
      <c r="F60" s="36">
        <f>IF(1&gt;'Summary &amp; Assumptions'!$C$23,"",F58/100000)</f>
        <v/>
      </c>
      <c r="G60" s="36">
        <f>IF(2&gt;'Summary &amp; Assumptions'!$C$23,"",G58/100000)</f>
        <v/>
      </c>
      <c r="H60" s="36">
        <f>IF(3&gt;'Summary &amp; Assumptions'!$C$23,"",H58/100000)</f>
        <v/>
      </c>
      <c r="I60" s="36">
        <f>IF(4&gt;'Summary &amp; Assumptions'!$C$23,"",I58/100000)</f>
        <v/>
      </c>
      <c r="J60" s="36">
        <f>IF(5&gt;'Summary &amp; Assumptions'!$C$23,"",J58/100000)</f>
        <v/>
      </c>
      <c r="K60" s="36">
        <f>IF(6&gt;'Summary &amp; Assumptions'!$C$23,"",K58/100000)</f>
        <v/>
      </c>
      <c r="L60" s="36">
        <f>IF(7&gt;'Summary &amp; Assumptions'!$C$23,"",L58/100000)</f>
        <v/>
      </c>
      <c r="M60" s="36">
        <f>IF(8&gt;'Summary &amp; Assumptions'!$C$23,"",M58/100000)</f>
        <v/>
      </c>
      <c r="N60" s="36">
        <f>IF(9&gt;'Summary &amp; Assumptions'!$C$23,"",N58/100000)</f>
        <v/>
      </c>
      <c r="O60" s="36">
        <f>IF(10&gt;'Summary &amp; Assumptions'!$C$23,"",O58/100000)</f>
        <v/>
      </c>
      <c r="P60" s="36">
        <f>IF(11&gt;'Summary &amp; Assumptions'!$C$23,"",P58/100000)</f>
        <v/>
      </c>
      <c r="Q60" s="36">
        <f>IF(12&gt;'Summary &amp; Assumptions'!$C$23,"",Q58/100000)</f>
        <v/>
      </c>
      <c r="R60" s="36">
        <f>IF(13&gt;'Summary &amp; Assumptions'!$C$23,"",R58/100000)</f>
        <v/>
      </c>
      <c r="S60" s="36">
        <f>IF(14&gt;'Summary &amp; Assumptions'!$C$23,"",S58/100000)</f>
        <v/>
      </c>
      <c r="T60" s="36">
        <f>IF(15&gt;'Summary &amp; Assumptions'!$C$23,"",T58/100000)</f>
        <v/>
      </c>
      <c r="U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  <c r="T61" s="1" t="n"/>
      <c r="U61" s="1" t="n"/>
    </row>
    <row r="62">
      <c r="A62" s="1" t="n"/>
      <c r="B62" s="6" t="inlineStr">
        <is>
          <t>Hold-Period Comparison (indicative — sell at end of year)</t>
        </is>
      </c>
      <c r="C62" s="7" t="n"/>
      <c r="D62" s="7" t="n"/>
      <c r="E62" s="7" t="n"/>
      <c r="F62" s="7" t="n"/>
      <c r="G62" s="7" t="n"/>
      <c r="H62" s="7" t="n"/>
      <c r="I62" s="7" t="n"/>
      <c r="J62" s="7" t="n"/>
      <c r="K62" s="7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</row>
    <row r="63">
      <c r="A63" s="1" t="n"/>
      <c r="B63" s="17" t="inlineStr">
        <is>
          <t>Sell After</t>
        </is>
      </c>
      <c r="C63" s="17" t="inlineStr">
        <is>
          <t>Levered IRR</t>
        </is>
      </c>
      <c r="D63" s="17" t="inlineStr">
        <is>
          <t>Equity Multiple</t>
        </is>
      </c>
      <c r="E63" s="17" t="inlineStr">
        <is>
          <t>Simple Avg Return</t>
        </is>
      </c>
      <c r="F63" s="17" t="inlineStr">
        <is>
          <t>Total Profit</t>
        </is>
      </c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</row>
    <row r="64">
      <c r="A64" s="1" t="n"/>
      <c r="B64" s="8" t="inlineStr">
        <is>
          <t>3 years</t>
        </is>
      </c>
      <c r="C64" s="11">
        <f>IF(3&gt;'Summary &amp; Assumptions'!$C$23,"n/a",IFERROR(IRR(F70:U70),0))</f>
        <v/>
      </c>
      <c r="D64" s="85">
        <f>IF(3&gt;'Summary &amp; Assumptions'!$C$23,"n/a",IFERROR(SUMIF(F70:U70,"&gt;0")/-SUMIF(F70:U70,"&lt;0"),0))</f>
        <v/>
      </c>
      <c r="E64" s="11">
        <f>IF(3&gt;'Summary &amp; Assumptions'!$C$23,"n/a",IF(D64=0,0,(D64-1)/3))</f>
        <v/>
      </c>
      <c r="F64" s="12">
        <f>IF(3&gt;'Summary &amp; Assumptions'!$C$23,"n/a",SUM(F70:U70))</f>
        <v/>
      </c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</row>
    <row r="65">
      <c r="A65" s="1" t="n"/>
      <c r="B65" s="8" t="inlineStr">
        <is>
          <t>5 years</t>
        </is>
      </c>
      <c r="C65" s="11">
        <f>IF(5&gt;'Summary &amp; Assumptions'!$C$23,"n/a",IFERROR(IRR(F71:U71),0))</f>
        <v/>
      </c>
      <c r="D65" s="85">
        <f>IF(5&gt;'Summary &amp; Assumptions'!$C$23,"n/a",IFERROR(SUMIF(F71:U71,"&gt;0")/-SUMIF(F71:U71,"&lt;0"),0))</f>
        <v/>
      </c>
      <c r="E65" s="11">
        <f>IF(5&gt;'Summary &amp; Assumptions'!$C$23,"n/a",IF(D65=0,0,(D65-1)/5))</f>
        <v/>
      </c>
      <c r="F65" s="12">
        <f>IF(5&gt;'Summary &amp; Assumptions'!$C$23,"n/a",SUM(F71:U71))</f>
        <v/>
      </c>
      <c r="G65" s="1" t="n"/>
      <c r="H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  <c r="R65" s="1" t="n"/>
      <c r="S65" s="1" t="n"/>
      <c r="T65" s="1" t="n"/>
      <c r="U65" s="1" t="n"/>
    </row>
    <row r="66">
      <c r="A66" s="1" t="n"/>
      <c r="B66" s="8" t="inlineStr">
        <is>
          <t>7 years</t>
        </is>
      </c>
      <c r="C66" s="11">
        <f>IF(7&gt;'Summary &amp; Assumptions'!$C$23,"n/a",IFERROR(IRR(F72:U72),0))</f>
        <v/>
      </c>
      <c r="D66" s="85">
        <f>IF(7&gt;'Summary &amp; Assumptions'!$C$23,"n/a",IFERROR(SUMIF(F72:U72,"&gt;0")/-SUMIF(F72:U72,"&lt;0"),0))</f>
        <v/>
      </c>
      <c r="E66" s="11">
        <f>IF(7&gt;'Summary &amp; Assumptions'!$C$23,"n/a",IF(D66=0,0,(D66-1)/7))</f>
        <v/>
      </c>
      <c r="F66" s="12">
        <f>IF(7&gt;'Summary &amp; Assumptions'!$C$23,"n/a",SUM(F72:U72))</f>
        <v/>
      </c>
      <c r="G66" s="1" t="n"/>
      <c r="H66" s="1" t="n"/>
      <c r="I66" s="1" t="n"/>
      <c r="J66" s="1" t="n"/>
      <c r="K66" s="1" t="n"/>
      <c r="L66" s="1" t="n"/>
      <c r="M66" s="1" t="n"/>
      <c r="N66" s="1" t="n"/>
      <c r="O66" s="1" t="n"/>
      <c r="P66" s="1" t="n"/>
      <c r="Q66" s="1" t="n"/>
      <c r="R66" s="1" t="n"/>
      <c r="S66" s="1" t="n"/>
      <c r="T66" s="1" t="n"/>
      <c r="U66" s="1" t="n"/>
    </row>
    <row r="67">
      <c r="A67" s="1" t="n"/>
      <c r="B67" s="8" t="inlineStr">
        <is>
          <t>10 years</t>
        </is>
      </c>
      <c r="C67" s="11">
        <f>IF(10&gt;'Summary &amp; Assumptions'!$C$23,"n/a",IFERROR(IRR(F73:U73),0))</f>
        <v/>
      </c>
      <c r="D67" s="85">
        <f>IF(10&gt;'Summary &amp; Assumptions'!$C$23,"n/a",IFERROR(SUMIF(F73:U73,"&gt;0")/-SUMIF(F73:U73,"&lt;0"),0))</f>
        <v/>
      </c>
      <c r="E67" s="11">
        <f>IF(10&gt;'Summary &amp; Assumptions'!$C$23,"n/a",IF(D67=0,0,(D67-1)/10))</f>
        <v/>
      </c>
      <c r="F67" s="12">
        <f>IF(10&gt;'Summary &amp; Assumptions'!$C$23,"n/a",SUM(F73:U73))</f>
        <v/>
      </c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  <c r="R67" s="1" t="n"/>
      <c r="S67" s="1" t="n"/>
      <c r="T67" s="1" t="n"/>
      <c r="U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  <c r="N68" s="1" t="n"/>
      <c r="O68" s="1" t="n"/>
      <c r="P68" s="1" t="n"/>
      <c r="Q68" s="1" t="n"/>
      <c r="R68" s="1" t="n"/>
      <c r="S68" s="1" t="n"/>
      <c r="T68" s="1" t="n"/>
      <c r="U68" s="1" t="n"/>
    </row>
    <row r="69" hidden="1" outlineLevel="1">
      <c r="A69" s="1" t="n"/>
      <c r="B69" s="3" t="inlineStr">
        <is>
          <t>Hypothetical exit cash flows (hidden helper)</t>
        </is>
      </c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  <c r="N69" s="1" t="n"/>
      <c r="O69" s="1" t="n"/>
      <c r="P69" s="1" t="n"/>
      <c r="Q69" s="1" t="n"/>
      <c r="R69" s="1" t="n"/>
      <c r="S69" s="1" t="n"/>
      <c r="T69" s="1" t="n"/>
      <c r="U69" s="1" t="n"/>
    </row>
    <row r="70" hidden="1" outlineLevel="1">
      <c r="A70" s="1" t="n"/>
      <c r="B70" s="3" t="inlineStr">
        <is>
          <t>sell yr 3</t>
        </is>
      </c>
      <c r="C70" s="1" t="n"/>
      <c r="D70" s="1" t="n"/>
      <c r="E70" s="1" t="n"/>
      <c r="F70" s="38">
        <f>-'Summary &amp; Assumptions'!$C$73</f>
        <v/>
      </c>
      <c r="G70" s="38">
        <f>IF(3&gt;'Summary &amp; Assumptions'!$C$23,0,IF(1&lt;3,N(INDEX('CashFlow'!$F$60:$T$60,1,1)),IF(1=3,N(INDEX('CashFlow'!$F$60:$T$60,1,1))+INDEX('CashFlow'!$F$47:$T$47,1,3)*(1-'Summary &amp; Assumptions'!$M$9-'Summary &amp; Assumptions'!$M$10-'Summary &amp; Assumptions'!$M$11-'Investor Waterfall'!$H$10)-INDEX('CashFlow'!$F$38:$T$38,1,3),0)))</f>
        <v/>
      </c>
      <c r="H70" s="38">
        <f>IF(3&gt;'Summary &amp; Assumptions'!$C$23,0,IF(2&lt;3,N(INDEX('CashFlow'!$F$60:$T$60,1,2)),IF(2=3,N(INDEX('CashFlow'!$F$60:$T$60,1,2))+INDEX('CashFlow'!$F$47:$T$47,1,3)*(1-'Summary &amp; Assumptions'!$M$9-'Summary &amp; Assumptions'!$M$10-'Summary &amp; Assumptions'!$M$11-'Investor Waterfall'!$H$10)-INDEX('CashFlow'!$F$38:$T$38,1,3),0)))</f>
        <v/>
      </c>
      <c r="I70" s="38">
        <f>IF(3&gt;'Summary &amp; Assumptions'!$C$23,0,IF(3&lt;3,N(INDEX('CashFlow'!$F$60:$T$60,1,3)),IF(3=3,N(INDEX('CashFlow'!$F$60:$T$60,1,3))+INDEX('CashFlow'!$F$47:$T$47,1,3)*(1-'Summary &amp; Assumptions'!$M$9-'Summary &amp; Assumptions'!$M$10-'Summary &amp; Assumptions'!$M$11-'Investor Waterfall'!$H$10)-INDEX('CashFlow'!$F$38:$T$38,1,3),0)))</f>
        <v/>
      </c>
      <c r="J70" s="38">
        <f>IF(3&gt;'Summary &amp; Assumptions'!$C$23,0,IF(4&lt;3,N(INDEX('CashFlow'!$F$60:$T$60,1,4)),IF(4=3,N(INDEX('CashFlow'!$F$60:$T$60,1,4))+INDEX('CashFlow'!$F$47:$T$47,1,3)*(1-'Summary &amp; Assumptions'!$M$9-'Summary &amp; Assumptions'!$M$10-'Summary &amp; Assumptions'!$M$11-'Investor Waterfall'!$H$10)-INDEX('CashFlow'!$F$38:$T$38,1,3),0)))</f>
        <v/>
      </c>
      <c r="K70" s="38">
        <f>IF(3&gt;'Summary &amp; Assumptions'!$C$23,0,IF(5&lt;3,N(INDEX('CashFlow'!$F$60:$T$60,1,5)),IF(5=3,N(INDEX('CashFlow'!$F$60:$T$60,1,5))+INDEX('CashFlow'!$F$47:$T$47,1,3)*(1-'Summary &amp; Assumptions'!$M$9-'Summary &amp; Assumptions'!$M$10-'Summary &amp; Assumptions'!$M$11-'Investor Waterfall'!$H$10)-INDEX('CashFlow'!$F$38:$T$38,1,3),0)))</f>
        <v/>
      </c>
      <c r="L70" s="38">
        <f>IF(3&gt;'Summary &amp; Assumptions'!$C$23,0,IF(6&lt;3,N(INDEX('CashFlow'!$F$60:$T$60,1,6)),IF(6=3,N(INDEX('CashFlow'!$F$60:$T$60,1,6))+INDEX('CashFlow'!$F$47:$T$47,1,3)*(1-'Summary &amp; Assumptions'!$M$9-'Summary &amp; Assumptions'!$M$10-'Summary &amp; Assumptions'!$M$11-'Investor Waterfall'!$H$10)-INDEX('CashFlow'!$F$38:$T$38,1,3),0)))</f>
        <v/>
      </c>
      <c r="M70" s="38">
        <f>IF(3&gt;'Summary &amp; Assumptions'!$C$23,0,IF(7&lt;3,N(INDEX('CashFlow'!$F$60:$T$60,1,7)),IF(7=3,N(INDEX('CashFlow'!$F$60:$T$60,1,7))+INDEX('CashFlow'!$F$47:$T$47,1,3)*(1-'Summary &amp; Assumptions'!$M$9-'Summary &amp; Assumptions'!$M$10-'Summary &amp; Assumptions'!$M$11-'Investor Waterfall'!$H$10)-INDEX('CashFlow'!$F$38:$T$38,1,3),0)))</f>
        <v/>
      </c>
      <c r="N70" s="38">
        <f>IF(3&gt;'Summary &amp; Assumptions'!$C$23,0,IF(8&lt;3,N(INDEX('CashFlow'!$F$60:$T$60,1,8)),IF(8=3,N(INDEX('CashFlow'!$F$60:$T$60,1,8))+INDEX('CashFlow'!$F$47:$T$47,1,3)*(1-'Summary &amp; Assumptions'!$M$9-'Summary &amp; Assumptions'!$M$10-'Summary &amp; Assumptions'!$M$11-'Investor Waterfall'!$H$10)-INDEX('CashFlow'!$F$38:$T$38,1,3),0)))</f>
        <v/>
      </c>
      <c r="O70" s="38">
        <f>IF(3&gt;'Summary &amp; Assumptions'!$C$23,0,IF(9&lt;3,N(INDEX('CashFlow'!$F$60:$T$60,1,9)),IF(9=3,N(INDEX('CashFlow'!$F$60:$T$60,1,9))+INDEX('CashFlow'!$F$47:$T$47,1,3)*(1-'Summary &amp; Assumptions'!$M$9-'Summary &amp; Assumptions'!$M$10-'Summary &amp; Assumptions'!$M$11-'Investor Waterfall'!$H$10)-INDEX('CashFlow'!$F$38:$T$38,1,3),0)))</f>
        <v/>
      </c>
      <c r="P70" s="38">
        <f>IF(3&gt;'Summary &amp; Assumptions'!$C$23,0,IF(10&lt;3,N(INDEX('CashFlow'!$F$60:$T$60,1,10)),IF(10=3,N(INDEX('CashFlow'!$F$60:$T$60,1,10))+INDEX('CashFlow'!$F$47:$T$47,1,3)*(1-'Summary &amp; Assumptions'!$M$9-'Summary &amp; Assumptions'!$M$10-'Summary &amp; Assumptions'!$M$11-'Investor Waterfall'!$H$10)-INDEX('CashFlow'!$F$38:$T$38,1,3),0)))</f>
        <v/>
      </c>
      <c r="Q70" s="38">
        <f>IF(3&gt;'Summary &amp; Assumptions'!$C$23,0,IF(11&lt;3,N(INDEX('CashFlow'!$F$60:$T$60,1,11)),IF(11=3,N(INDEX('CashFlow'!$F$60:$T$60,1,11))+INDEX('CashFlow'!$F$47:$T$47,1,3)*(1-'Summary &amp; Assumptions'!$M$9-'Summary &amp; Assumptions'!$M$10-'Summary &amp; Assumptions'!$M$11-'Investor Waterfall'!$H$10)-INDEX('CashFlow'!$F$38:$T$38,1,3),0)))</f>
        <v/>
      </c>
      <c r="R70" s="38">
        <f>IF(3&gt;'Summary &amp; Assumptions'!$C$23,0,IF(12&lt;3,N(INDEX('CashFlow'!$F$60:$T$60,1,12)),IF(12=3,N(INDEX('CashFlow'!$F$60:$T$60,1,12))+INDEX('CashFlow'!$F$47:$T$47,1,3)*(1-'Summary &amp; Assumptions'!$M$9-'Summary &amp; Assumptions'!$M$10-'Summary &amp; Assumptions'!$M$11-'Investor Waterfall'!$H$10)-INDEX('CashFlow'!$F$38:$T$38,1,3),0)))</f>
        <v/>
      </c>
      <c r="S70" s="38">
        <f>IF(3&gt;'Summary &amp; Assumptions'!$C$23,0,IF(13&lt;3,N(INDEX('CashFlow'!$F$60:$T$60,1,13)),IF(13=3,N(INDEX('CashFlow'!$F$60:$T$60,1,13))+INDEX('CashFlow'!$F$47:$T$47,1,3)*(1-'Summary &amp; Assumptions'!$M$9-'Summary &amp; Assumptions'!$M$10-'Summary &amp; Assumptions'!$M$11-'Investor Waterfall'!$H$10)-INDEX('CashFlow'!$F$38:$T$38,1,3),0)))</f>
        <v/>
      </c>
      <c r="T70" s="38">
        <f>IF(3&gt;'Summary &amp; Assumptions'!$C$23,0,IF(14&lt;3,N(INDEX('CashFlow'!$F$60:$T$60,1,14)),IF(14=3,N(INDEX('CashFlow'!$F$60:$T$60,1,14))+INDEX('CashFlow'!$F$47:$T$47,1,3)*(1-'Summary &amp; Assumptions'!$M$9-'Summary &amp; Assumptions'!$M$10-'Summary &amp; Assumptions'!$M$11-'Investor Waterfall'!$H$10)-INDEX('CashFlow'!$F$38:$T$38,1,3),0)))</f>
        <v/>
      </c>
      <c r="U70" s="38">
        <f>IF(3&gt;'Summary &amp; Assumptions'!$C$23,0,IF(15&lt;3,N(INDEX('CashFlow'!$F$60:$T$60,1,15)),IF(15=3,N(INDEX('CashFlow'!$F$60:$T$60,1,15))+INDEX('CashFlow'!$F$47:$T$47,1,3)*(1-'Summary &amp; Assumptions'!$M$9-'Summary &amp; Assumptions'!$M$10-'Summary &amp; Assumptions'!$M$11-'Investor Waterfall'!$H$10)-INDEX('CashFlow'!$F$38:$T$38,1,3),0)))</f>
        <v/>
      </c>
    </row>
    <row r="71" hidden="1" outlineLevel="1">
      <c r="A71" s="1" t="n"/>
      <c r="B71" s="3" t="inlineStr">
        <is>
          <t>sell yr 5</t>
        </is>
      </c>
      <c r="C71" s="1" t="n"/>
      <c r="D71" s="1" t="n"/>
      <c r="E71" s="1" t="n"/>
      <c r="F71" s="38">
        <f>-'Summary &amp; Assumptions'!$C$73</f>
        <v/>
      </c>
      <c r="G71" s="38">
        <f>IF(5&gt;'Summary &amp; Assumptions'!$C$23,0,IF(1&lt;5,N(INDEX('CashFlow'!$F$60:$T$60,1,1)),IF(1=5,N(INDEX('CashFlow'!$F$60:$T$60,1,1))+INDEX('CashFlow'!$F$47:$T$47,1,5)*(1-'Summary &amp; Assumptions'!$M$9-'Summary &amp; Assumptions'!$M$10-'Summary &amp; Assumptions'!$M$11-'Investor Waterfall'!$H$10)-INDEX('CashFlow'!$F$38:$T$38,1,5),0)))</f>
        <v/>
      </c>
      <c r="H71" s="38">
        <f>IF(5&gt;'Summary &amp; Assumptions'!$C$23,0,IF(2&lt;5,N(INDEX('CashFlow'!$F$60:$T$60,1,2)),IF(2=5,N(INDEX('CashFlow'!$F$60:$T$60,1,2))+INDEX('CashFlow'!$F$47:$T$47,1,5)*(1-'Summary &amp; Assumptions'!$M$9-'Summary &amp; Assumptions'!$M$10-'Summary &amp; Assumptions'!$M$11-'Investor Waterfall'!$H$10)-INDEX('CashFlow'!$F$38:$T$38,1,5),0)))</f>
        <v/>
      </c>
      <c r="I71" s="38">
        <f>IF(5&gt;'Summary &amp; Assumptions'!$C$23,0,IF(3&lt;5,N(INDEX('CashFlow'!$F$60:$T$60,1,3)),IF(3=5,N(INDEX('CashFlow'!$F$60:$T$60,1,3))+INDEX('CashFlow'!$F$47:$T$47,1,5)*(1-'Summary &amp; Assumptions'!$M$9-'Summary &amp; Assumptions'!$M$10-'Summary &amp; Assumptions'!$M$11-'Investor Waterfall'!$H$10)-INDEX('CashFlow'!$F$38:$T$38,1,5),0)))</f>
        <v/>
      </c>
      <c r="J71" s="38">
        <f>IF(5&gt;'Summary &amp; Assumptions'!$C$23,0,IF(4&lt;5,N(INDEX('CashFlow'!$F$60:$T$60,1,4)),IF(4=5,N(INDEX('CashFlow'!$F$60:$T$60,1,4))+INDEX('CashFlow'!$F$47:$T$47,1,5)*(1-'Summary &amp; Assumptions'!$M$9-'Summary &amp; Assumptions'!$M$10-'Summary &amp; Assumptions'!$M$11-'Investor Waterfall'!$H$10)-INDEX('CashFlow'!$F$38:$T$38,1,5),0)))</f>
        <v/>
      </c>
      <c r="K71" s="38">
        <f>IF(5&gt;'Summary &amp; Assumptions'!$C$23,0,IF(5&lt;5,N(INDEX('CashFlow'!$F$60:$T$60,1,5)),IF(5=5,N(INDEX('CashFlow'!$F$60:$T$60,1,5))+INDEX('CashFlow'!$F$47:$T$47,1,5)*(1-'Summary &amp; Assumptions'!$M$9-'Summary &amp; Assumptions'!$M$10-'Summary &amp; Assumptions'!$M$11-'Investor Waterfall'!$H$10)-INDEX('CashFlow'!$F$38:$T$38,1,5),0)))</f>
        <v/>
      </c>
      <c r="L71" s="38">
        <f>IF(5&gt;'Summary &amp; Assumptions'!$C$23,0,IF(6&lt;5,N(INDEX('CashFlow'!$F$60:$T$60,1,6)),IF(6=5,N(INDEX('CashFlow'!$F$60:$T$60,1,6))+INDEX('CashFlow'!$F$47:$T$47,1,5)*(1-'Summary &amp; Assumptions'!$M$9-'Summary &amp; Assumptions'!$M$10-'Summary &amp; Assumptions'!$M$11-'Investor Waterfall'!$H$10)-INDEX('CashFlow'!$F$38:$T$38,1,5),0)))</f>
        <v/>
      </c>
      <c r="M71" s="38">
        <f>IF(5&gt;'Summary &amp; Assumptions'!$C$23,0,IF(7&lt;5,N(INDEX('CashFlow'!$F$60:$T$60,1,7)),IF(7=5,N(INDEX('CashFlow'!$F$60:$T$60,1,7))+INDEX('CashFlow'!$F$47:$T$47,1,5)*(1-'Summary &amp; Assumptions'!$M$9-'Summary &amp; Assumptions'!$M$10-'Summary &amp; Assumptions'!$M$11-'Investor Waterfall'!$H$10)-INDEX('CashFlow'!$F$38:$T$38,1,5),0)))</f>
        <v/>
      </c>
      <c r="N71" s="38">
        <f>IF(5&gt;'Summary &amp; Assumptions'!$C$23,0,IF(8&lt;5,N(INDEX('CashFlow'!$F$60:$T$60,1,8)),IF(8=5,N(INDEX('CashFlow'!$F$60:$T$60,1,8))+INDEX('CashFlow'!$F$47:$T$47,1,5)*(1-'Summary &amp; Assumptions'!$M$9-'Summary &amp; Assumptions'!$M$10-'Summary &amp; Assumptions'!$M$11-'Investor Waterfall'!$H$10)-INDEX('CashFlow'!$F$38:$T$38,1,5),0)))</f>
        <v/>
      </c>
      <c r="O71" s="38">
        <f>IF(5&gt;'Summary &amp; Assumptions'!$C$23,0,IF(9&lt;5,N(INDEX('CashFlow'!$F$60:$T$60,1,9)),IF(9=5,N(INDEX('CashFlow'!$F$60:$T$60,1,9))+INDEX('CashFlow'!$F$47:$T$47,1,5)*(1-'Summary &amp; Assumptions'!$M$9-'Summary &amp; Assumptions'!$M$10-'Summary &amp; Assumptions'!$M$11-'Investor Waterfall'!$H$10)-INDEX('CashFlow'!$F$38:$T$38,1,5),0)))</f>
        <v/>
      </c>
      <c r="P71" s="38">
        <f>IF(5&gt;'Summary &amp; Assumptions'!$C$23,0,IF(10&lt;5,N(INDEX('CashFlow'!$F$60:$T$60,1,10)),IF(10=5,N(INDEX('CashFlow'!$F$60:$T$60,1,10))+INDEX('CashFlow'!$F$47:$T$47,1,5)*(1-'Summary &amp; Assumptions'!$M$9-'Summary &amp; Assumptions'!$M$10-'Summary &amp; Assumptions'!$M$11-'Investor Waterfall'!$H$10)-INDEX('CashFlow'!$F$38:$T$38,1,5),0)))</f>
        <v/>
      </c>
      <c r="Q71" s="38">
        <f>IF(5&gt;'Summary &amp; Assumptions'!$C$23,0,IF(11&lt;5,N(INDEX('CashFlow'!$F$60:$T$60,1,11)),IF(11=5,N(INDEX('CashFlow'!$F$60:$T$60,1,11))+INDEX('CashFlow'!$F$47:$T$47,1,5)*(1-'Summary &amp; Assumptions'!$M$9-'Summary &amp; Assumptions'!$M$10-'Summary &amp; Assumptions'!$M$11-'Investor Waterfall'!$H$10)-INDEX('CashFlow'!$F$38:$T$38,1,5),0)))</f>
        <v/>
      </c>
      <c r="R71" s="38">
        <f>IF(5&gt;'Summary &amp; Assumptions'!$C$23,0,IF(12&lt;5,N(INDEX('CashFlow'!$F$60:$T$60,1,12)),IF(12=5,N(INDEX('CashFlow'!$F$60:$T$60,1,12))+INDEX('CashFlow'!$F$47:$T$47,1,5)*(1-'Summary &amp; Assumptions'!$M$9-'Summary &amp; Assumptions'!$M$10-'Summary &amp; Assumptions'!$M$11-'Investor Waterfall'!$H$10)-INDEX('CashFlow'!$F$38:$T$38,1,5),0)))</f>
        <v/>
      </c>
      <c r="S71" s="38">
        <f>IF(5&gt;'Summary &amp; Assumptions'!$C$23,0,IF(13&lt;5,N(INDEX('CashFlow'!$F$60:$T$60,1,13)),IF(13=5,N(INDEX('CashFlow'!$F$60:$T$60,1,13))+INDEX('CashFlow'!$F$47:$T$47,1,5)*(1-'Summary &amp; Assumptions'!$M$9-'Summary &amp; Assumptions'!$M$10-'Summary &amp; Assumptions'!$M$11-'Investor Waterfall'!$H$10)-INDEX('CashFlow'!$F$38:$T$38,1,5),0)))</f>
        <v/>
      </c>
      <c r="T71" s="38">
        <f>IF(5&gt;'Summary &amp; Assumptions'!$C$23,0,IF(14&lt;5,N(INDEX('CashFlow'!$F$60:$T$60,1,14)),IF(14=5,N(INDEX('CashFlow'!$F$60:$T$60,1,14))+INDEX('CashFlow'!$F$47:$T$47,1,5)*(1-'Summary &amp; Assumptions'!$M$9-'Summary &amp; Assumptions'!$M$10-'Summary &amp; Assumptions'!$M$11-'Investor Waterfall'!$H$10)-INDEX('CashFlow'!$F$38:$T$38,1,5),0)))</f>
        <v/>
      </c>
      <c r="U71" s="38">
        <f>IF(5&gt;'Summary &amp; Assumptions'!$C$23,0,IF(15&lt;5,N(INDEX('CashFlow'!$F$60:$T$60,1,15)),IF(15=5,N(INDEX('CashFlow'!$F$60:$T$60,1,15))+INDEX('CashFlow'!$F$47:$T$47,1,5)*(1-'Summary &amp; Assumptions'!$M$9-'Summary &amp; Assumptions'!$M$10-'Summary &amp; Assumptions'!$M$11-'Investor Waterfall'!$H$10)-INDEX('CashFlow'!$F$38:$T$38,1,5),0)))</f>
        <v/>
      </c>
    </row>
    <row r="72" hidden="1" outlineLevel="1">
      <c r="A72" s="1" t="n"/>
      <c r="B72" s="3" t="inlineStr">
        <is>
          <t>sell yr 7</t>
        </is>
      </c>
      <c r="C72" s="1" t="n"/>
      <c r="D72" s="1" t="n"/>
      <c r="E72" s="1" t="n"/>
      <c r="F72" s="38">
        <f>-'Summary &amp; Assumptions'!$C$73</f>
        <v/>
      </c>
      <c r="G72" s="38">
        <f>IF(7&gt;'Summary &amp; Assumptions'!$C$23,0,IF(1&lt;7,N(INDEX('CashFlow'!$F$60:$T$60,1,1)),IF(1=7,N(INDEX('CashFlow'!$F$60:$T$60,1,1))+INDEX('CashFlow'!$F$47:$T$47,1,7)*(1-'Summary &amp; Assumptions'!$M$9-'Summary &amp; Assumptions'!$M$10-'Summary &amp; Assumptions'!$M$11-'Investor Waterfall'!$H$10)-INDEX('CashFlow'!$F$38:$T$38,1,7),0)))</f>
        <v/>
      </c>
      <c r="H72" s="38">
        <f>IF(7&gt;'Summary &amp; Assumptions'!$C$23,0,IF(2&lt;7,N(INDEX('CashFlow'!$F$60:$T$60,1,2)),IF(2=7,N(INDEX('CashFlow'!$F$60:$T$60,1,2))+INDEX('CashFlow'!$F$47:$T$47,1,7)*(1-'Summary &amp; Assumptions'!$M$9-'Summary &amp; Assumptions'!$M$10-'Summary &amp; Assumptions'!$M$11-'Investor Waterfall'!$H$10)-INDEX('CashFlow'!$F$38:$T$38,1,7),0)))</f>
        <v/>
      </c>
      <c r="I72" s="38">
        <f>IF(7&gt;'Summary &amp; Assumptions'!$C$23,0,IF(3&lt;7,N(INDEX('CashFlow'!$F$60:$T$60,1,3)),IF(3=7,N(INDEX('CashFlow'!$F$60:$T$60,1,3))+INDEX('CashFlow'!$F$47:$T$47,1,7)*(1-'Summary &amp; Assumptions'!$M$9-'Summary &amp; Assumptions'!$M$10-'Summary &amp; Assumptions'!$M$11-'Investor Waterfall'!$H$10)-INDEX('CashFlow'!$F$38:$T$38,1,7),0)))</f>
        <v/>
      </c>
      <c r="J72" s="38">
        <f>IF(7&gt;'Summary &amp; Assumptions'!$C$23,0,IF(4&lt;7,N(INDEX('CashFlow'!$F$60:$T$60,1,4)),IF(4=7,N(INDEX('CashFlow'!$F$60:$T$60,1,4))+INDEX('CashFlow'!$F$47:$T$47,1,7)*(1-'Summary &amp; Assumptions'!$M$9-'Summary &amp; Assumptions'!$M$10-'Summary &amp; Assumptions'!$M$11-'Investor Waterfall'!$H$10)-INDEX('CashFlow'!$F$38:$T$38,1,7),0)))</f>
        <v/>
      </c>
      <c r="K72" s="38">
        <f>IF(7&gt;'Summary &amp; Assumptions'!$C$23,0,IF(5&lt;7,N(INDEX('CashFlow'!$F$60:$T$60,1,5)),IF(5=7,N(INDEX('CashFlow'!$F$60:$T$60,1,5))+INDEX('CashFlow'!$F$47:$T$47,1,7)*(1-'Summary &amp; Assumptions'!$M$9-'Summary &amp; Assumptions'!$M$10-'Summary &amp; Assumptions'!$M$11-'Investor Waterfall'!$H$10)-INDEX('CashFlow'!$F$38:$T$38,1,7),0)))</f>
        <v/>
      </c>
      <c r="L72" s="38">
        <f>IF(7&gt;'Summary &amp; Assumptions'!$C$23,0,IF(6&lt;7,N(INDEX('CashFlow'!$F$60:$T$60,1,6)),IF(6=7,N(INDEX('CashFlow'!$F$60:$T$60,1,6))+INDEX('CashFlow'!$F$47:$T$47,1,7)*(1-'Summary &amp; Assumptions'!$M$9-'Summary &amp; Assumptions'!$M$10-'Summary &amp; Assumptions'!$M$11-'Investor Waterfall'!$H$10)-INDEX('CashFlow'!$F$38:$T$38,1,7),0)))</f>
        <v/>
      </c>
      <c r="M72" s="38">
        <f>IF(7&gt;'Summary &amp; Assumptions'!$C$23,0,IF(7&lt;7,N(INDEX('CashFlow'!$F$60:$T$60,1,7)),IF(7=7,N(INDEX('CashFlow'!$F$60:$T$60,1,7))+INDEX('CashFlow'!$F$47:$T$47,1,7)*(1-'Summary &amp; Assumptions'!$M$9-'Summary &amp; Assumptions'!$M$10-'Summary &amp; Assumptions'!$M$11-'Investor Waterfall'!$H$10)-INDEX('CashFlow'!$F$38:$T$38,1,7),0)))</f>
        <v/>
      </c>
      <c r="N72" s="38">
        <f>IF(7&gt;'Summary &amp; Assumptions'!$C$23,0,IF(8&lt;7,N(INDEX('CashFlow'!$F$60:$T$60,1,8)),IF(8=7,N(INDEX('CashFlow'!$F$60:$T$60,1,8))+INDEX('CashFlow'!$F$47:$T$47,1,7)*(1-'Summary &amp; Assumptions'!$M$9-'Summary &amp; Assumptions'!$M$10-'Summary &amp; Assumptions'!$M$11-'Investor Waterfall'!$H$10)-INDEX('CashFlow'!$F$38:$T$38,1,7),0)))</f>
        <v/>
      </c>
      <c r="O72" s="38">
        <f>IF(7&gt;'Summary &amp; Assumptions'!$C$23,0,IF(9&lt;7,N(INDEX('CashFlow'!$F$60:$T$60,1,9)),IF(9=7,N(INDEX('CashFlow'!$F$60:$T$60,1,9))+INDEX('CashFlow'!$F$47:$T$47,1,7)*(1-'Summary &amp; Assumptions'!$M$9-'Summary &amp; Assumptions'!$M$10-'Summary &amp; Assumptions'!$M$11-'Investor Waterfall'!$H$10)-INDEX('CashFlow'!$F$38:$T$38,1,7),0)))</f>
        <v/>
      </c>
      <c r="P72" s="38">
        <f>IF(7&gt;'Summary &amp; Assumptions'!$C$23,0,IF(10&lt;7,N(INDEX('CashFlow'!$F$60:$T$60,1,10)),IF(10=7,N(INDEX('CashFlow'!$F$60:$T$60,1,10))+INDEX('CashFlow'!$F$47:$T$47,1,7)*(1-'Summary &amp; Assumptions'!$M$9-'Summary &amp; Assumptions'!$M$10-'Summary &amp; Assumptions'!$M$11-'Investor Waterfall'!$H$10)-INDEX('CashFlow'!$F$38:$T$38,1,7),0)))</f>
        <v/>
      </c>
      <c r="Q72" s="38">
        <f>IF(7&gt;'Summary &amp; Assumptions'!$C$23,0,IF(11&lt;7,N(INDEX('CashFlow'!$F$60:$T$60,1,11)),IF(11=7,N(INDEX('CashFlow'!$F$60:$T$60,1,11))+INDEX('CashFlow'!$F$47:$T$47,1,7)*(1-'Summary &amp; Assumptions'!$M$9-'Summary &amp; Assumptions'!$M$10-'Summary &amp; Assumptions'!$M$11-'Investor Waterfall'!$H$10)-INDEX('CashFlow'!$F$38:$T$38,1,7),0)))</f>
        <v/>
      </c>
      <c r="R72" s="38">
        <f>IF(7&gt;'Summary &amp; Assumptions'!$C$23,0,IF(12&lt;7,N(INDEX('CashFlow'!$F$60:$T$60,1,12)),IF(12=7,N(INDEX('CashFlow'!$F$60:$T$60,1,12))+INDEX('CashFlow'!$F$47:$T$47,1,7)*(1-'Summary &amp; Assumptions'!$M$9-'Summary &amp; Assumptions'!$M$10-'Summary &amp; Assumptions'!$M$11-'Investor Waterfall'!$H$10)-INDEX('CashFlow'!$F$38:$T$38,1,7),0)))</f>
        <v/>
      </c>
      <c r="S72" s="38">
        <f>IF(7&gt;'Summary &amp; Assumptions'!$C$23,0,IF(13&lt;7,N(INDEX('CashFlow'!$F$60:$T$60,1,13)),IF(13=7,N(INDEX('CashFlow'!$F$60:$T$60,1,13))+INDEX('CashFlow'!$F$47:$T$47,1,7)*(1-'Summary &amp; Assumptions'!$M$9-'Summary &amp; Assumptions'!$M$10-'Summary &amp; Assumptions'!$M$11-'Investor Waterfall'!$H$10)-INDEX('CashFlow'!$F$38:$T$38,1,7),0)))</f>
        <v/>
      </c>
      <c r="T72" s="38">
        <f>IF(7&gt;'Summary &amp; Assumptions'!$C$23,0,IF(14&lt;7,N(INDEX('CashFlow'!$F$60:$T$60,1,14)),IF(14=7,N(INDEX('CashFlow'!$F$60:$T$60,1,14))+INDEX('CashFlow'!$F$47:$T$47,1,7)*(1-'Summary &amp; Assumptions'!$M$9-'Summary &amp; Assumptions'!$M$10-'Summary &amp; Assumptions'!$M$11-'Investor Waterfall'!$H$10)-INDEX('CashFlow'!$F$38:$T$38,1,7),0)))</f>
        <v/>
      </c>
      <c r="U72" s="38">
        <f>IF(7&gt;'Summary &amp; Assumptions'!$C$23,0,IF(15&lt;7,N(INDEX('CashFlow'!$F$60:$T$60,1,15)),IF(15=7,N(INDEX('CashFlow'!$F$60:$T$60,1,15))+INDEX('CashFlow'!$F$47:$T$47,1,7)*(1-'Summary &amp; Assumptions'!$M$9-'Summary &amp; Assumptions'!$M$10-'Summary &amp; Assumptions'!$M$11-'Investor Waterfall'!$H$10)-INDEX('CashFlow'!$F$38:$T$38,1,7),0)))</f>
        <v/>
      </c>
    </row>
    <row r="73" hidden="1" outlineLevel="1">
      <c r="A73" s="1" t="n"/>
      <c r="B73" s="3" t="inlineStr">
        <is>
          <t>sell yr 10</t>
        </is>
      </c>
      <c r="C73" s="1" t="n"/>
      <c r="D73" s="1" t="n"/>
      <c r="E73" s="1" t="n"/>
      <c r="F73" s="38">
        <f>-'Summary &amp; Assumptions'!$C$73</f>
        <v/>
      </c>
      <c r="G73" s="38">
        <f>IF(10&gt;'Summary &amp; Assumptions'!$C$23,0,IF(1&lt;10,N(INDEX('CashFlow'!$F$60:$T$60,1,1)),IF(1=10,N(INDEX('CashFlow'!$F$60:$T$60,1,1))+INDEX('CashFlow'!$F$47:$T$47,1,10)*(1-'Summary &amp; Assumptions'!$M$9-'Summary &amp; Assumptions'!$M$10-'Summary &amp; Assumptions'!$M$11-'Investor Waterfall'!$H$10)-INDEX('CashFlow'!$F$38:$T$38,1,10),0)))</f>
        <v/>
      </c>
      <c r="H73" s="38">
        <f>IF(10&gt;'Summary &amp; Assumptions'!$C$23,0,IF(2&lt;10,N(INDEX('CashFlow'!$F$60:$T$60,1,2)),IF(2=10,N(INDEX('CashFlow'!$F$60:$T$60,1,2))+INDEX('CashFlow'!$F$47:$T$47,1,10)*(1-'Summary &amp; Assumptions'!$M$9-'Summary &amp; Assumptions'!$M$10-'Summary &amp; Assumptions'!$M$11-'Investor Waterfall'!$H$10)-INDEX('CashFlow'!$F$38:$T$38,1,10),0)))</f>
        <v/>
      </c>
      <c r="I73" s="38">
        <f>IF(10&gt;'Summary &amp; Assumptions'!$C$23,0,IF(3&lt;10,N(INDEX('CashFlow'!$F$60:$T$60,1,3)),IF(3=10,N(INDEX('CashFlow'!$F$60:$T$60,1,3))+INDEX('CashFlow'!$F$47:$T$47,1,10)*(1-'Summary &amp; Assumptions'!$M$9-'Summary &amp; Assumptions'!$M$10-'Summary &amp; Assumptions'!$M$11-'Investor Waterfall'!$H$10)-INDEX('CashFlow'!$F$38:$T$38,1,10),0)))</f>
        <v/>
      </c>
      <c r="J73" s="38">
        <f>IF(10&gt;'Summary &amp; Assumptions'!$C$23,0,IF(4&lt;10,N(INDEX('CashFlow'!$F$60:$T$60,1,4)),IF(4=10,N(INDEX('CashFlow'!$F$60:$T$60,1,4))+INDEX('CashFlow'!$F$47:$T$47,1,10)*(1-'Summary &amp; Assumptions'!$M$9-'Summary &amp; Assumptions'!$M$10-'Summary &amp; Assumptions'!$M$11-'Investor Waterfall'!$H$10)-INDEX('CashFlow'!$F$38:$T$38,1,10),0)))</f>
        <v/>
      </c>
      <c r="K73" s="38">
        <f>IF(10&gt;'Summary &amp; Assumptions'!$C$23,0,IF(5&lt;10,N(INDEX('CashFlow'!$F$60:$T$60,1,5)),IF(5=10,N(INDEX('CashFlow'!$F$60:$T$60,1,5))+INDEX('CashFlow'!$F$47:$T$47,1,10)*(1-'Summary &amp; Assumptions'!$M$9-'Summary &amp; Assumptions'!$M$10-'Summary &amp; Assumptions'!$M$11-'Investor Waterfall'!$H$10)-INDEX('CashFlow'!$F$38:$T$38,1,10),0)))</f>
        <v/>
      </c>
      <c r="L73" s="38">
        <f>IF(10&gt;'Summary &amp; Assumptions'!$C$23,0,IF(6&lt;10,N(INDEX('CashFlow'!$F$60:$T$60,1,6)),IF(6=10,N(INDEX('CashFlow'!$F$60:$T$60,1,6))+INDEX('CashFlow'!$F$47:$T$47,1,10)*(1-'Summary &amp; Assumptions'!$M$9-'Summary &amp; Assumptions'!$M$10-'Summary &amp; Assumptions'!$M$11-'Investor Waterfall'!$H$10)-INDEX('CashFlow'!$F$38:$T$38,1,10),0)))</f>
        <v/>
      </c>
      <c r="M73" s="38">
        <f>IF(10&gt;'Summary &amp; Assumptions'!$C$23,0,IF(7&lt;10,N(INDEX('CashFlow'!$F$60:$T$60,1,7)),IF(7=10,N(INDEX('CashFlow'!$F$60:$T$60,1,7))+INDEX('CashFlow'!$F$47:$T$47,1,10)*(1-'Summary &amp; Assumptions'!$M$9-'Summary &amp; Assumptions'!$M$10-'Summary &amp; Assumptions'!$M$11-'Investor Waterfall'!$H$10)-INDEX('CashFlow'!$F$38:$T$38,1,10),0)))</f>
        <v/>
      </c>
      <c r="N73" s="38">
        <f>IF(10&gt;'Summary &amp; Assumptions'!$C$23,0,IF(8&lt;10,N(INDEX('CashFlow'!$F$60:$T$60,1,8)),IF(8=10,N(INDEX('CashFlow'!$F$60:$T$60,1,8))+INDEX('CashFlow'!$F$47:$T$47,1,10)*(1-'Summary &amp; Assumptions'!$M$9-'Summary &amp; Assumptions'!$M$10-'Summary &amp; Assumptions'!$M$11-'Investor Waterfall'!$H$10)-INDEX('CashFlow'!$F$38:$T$38,1,10),0)))</f>
        <v/>
      </c>
      <c r="O73" s="38">
        <f>IF(10&gt;'Summary &amp; Assumptions'!$C$23,0,IF(9&lt;10,N(INDEX('CashFlow'!$F$60:$T$60,1,9)),IF(9=10,N(INDEX('CashFlow'!$F$60:$T$60,1,9))+INDEX('CashFlow'!$F$47:$T$47,1,10)*(1-'Summary &amp; Assumptions'!$M$9-'Summary &amp; Assumptions'!$M$10-'Summary &amp; Assumptions'!$M$11-'Investor Waterfall'!$H$10)-INDEX('CashFlow'!$F$38:$T$38,1,10),0)))</f>
        <v/>
      </c>
      <c r="P73" s="38">
        <f>IF(10&gt;'Summary &amp; Assumptions'!$C$23,0,IF(10&lt;10,N(INDEX('CashFlow'!$F$60:$T$60,1,10)),IF(10=10,N(INDEX('CashFlow'!$F$60:$T$60,1,10))+INDEX('CashFlow'!$F$47:$T$47,1,10)*(1-'Summary &amp; Assumptions'!$M$9-'Summary &amp; Assumptions'!$M$10-'Summary &amp; Assumptions'!$M$11-'Investor Waterfall'!$H$10)-INDEX('CashFlow'!$F$38:$T$38,1,10),0)))</f>
        <v/>
      </c>
      <c r="Q73" s="38">
        <f>IF(10&gt;'Summary &amp; Assumptions'!$C$23,0,IF(11&lt;10,N(INDEX('CashFlow'!$F$60:$T$60,1,11)),IF(11=10,N(INDEX('CashFlow'!$F$60:$T$60,1,11))+INDEX('CashFlow'!$F$47:$T$47,1,10)*(1-'Summary &amp; Assumptions'!$M$9-'Summary &amp; Assumptions'!$M$10-'Summary &amp; Assumptions'!$M$11-'Investor Waterfall'!$H$10)-INDEX('CashFlow'!$F$38:$T$38,1,10),0)))</f>
        <v/>
      </c>
      <c r="R73" s="38">
        <f>IF(10&gt;'Summary &amp; Assumptions'!$C$23,0,IF(12&lt;10,N(INDEX('CashFlow'!$F$60:$T$60,1,12)),IF(12=10,N(INDEX('CashFlow'!$F$60:$T$60,1,12))+INDEX('CashFlow'!$F$47:$T$47,1,10)*(1-'Summary &amp; Assumptions'!$M$9-'Summary &amp; Assumptions'!$M$10-'Summary &amp; Assumptions'!$M$11-'Investor Waterfall'!$H$10)-INDEX('CashFlow'!$F$38:$T$38,1,10),0)))</f>
        <v/>
      </c>
      <c r="S73" s="38">
        <f>IF(10&gt;'Summary &amp; Assumptions'!$C$23,0,IF(13&lt;10,N(INDEX('CashFlow'!$F$60:$T$60,1,13)),IF(13=10,N(INDEX('CashFlow'!$F$60:$T$60,1,13))+INDEX('CashFlow'!$F$47:$T$47,1,10)*(1-'Summary &amp; Assumptions'!$M$9-'Summary &amp; Assumptions'!$M$10-'Summary &amp; Assumptions'!$M$11-'Investor Waterfall'!$H$10)-INDEX('CashFlow'!$F$38:$T$38,1,10),0)))</f>
        <v/>
      </c>
      <c r="T73" s="38">
        <f>IF(10&gt;'Summary &amp; Assumptions'!$C$23,0,IF(14&lt;10,N(INDEX('CashFlow'!$F$60:$T$60,1,14)),IF(14=10,N(INDEX('CashFlow'!$F$60:$T$60,1,14))+INDEX('CashFlow'!$F$47:$T$47,1,10)*(1-'Summary &amp; Assumptions'!$M$9-'Summary &amp; Assumptions'!$M$10-'Summary &amp; Assumptions'!$M$11-'Investor Waterfall'!$H$10)-INDEX('CashFlow'!$F$38:$T$38,1,10),0)))</f>
        <v/>
      </c>
      <c r="U73" s="38">
        <f>IF(10&gt;'Summary &amp; Assumptions'!$C$23,0,IF(15&lt;10,N(INDEX('CashFlow'!$F$60:$T$60,1,15)),IF(15=10,N(INDEX('CashFlow'!$F$60:$T$60,1,15))+INDEX('CashFlow'!$F$47:$T$47,1,10)*(1-'Summary &amp; Assumptions'!$M$9-'Summary &amp; Assumptions'!$M$10-'Summary &amp; Assumptions'!$M$11-'Investor Waterfall'!$H$10)-INDEX('CashFlow'!$F$38:$T$38,1,10),0)))</f>
        <v/>
      </c>
    </row>
  </sheetData>
  <sheetProtection selectLockedCells="1" selectUnlockedCells="0" algorithmName="SHA-512" sheet="1" objects="1" insertRows="1" insertHyperlinks="1" autoFilter="1" scenarios="1" formatColumns="0" deleteColumns="1" insertColumns="1" pivotTables="1" deleteRows="1" formatCells="0" saltValue="kR2Lz1QJEyJLiHJBsVqNvQ==" formatRows="0" sort="1" spinCount="100000" hashValue="Npj19r5N85qwBCk4c3p/jsOKtxM6e1g92r/EaiYi0mQDXZkMNPqE1mHXM8k0HpofVJF1JugduiuQXHm1M5sHLA=="/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tabColor rgb="00EBEAE5"/>
    <outlinePr summaryBelow="1" summaryRight="1"/>
    <pageSetUpPr/>
  </sheetPr>
  <dimension ref="A1:G58"/>
  <sheetViews>
    <sheetView showGridLines="0" workbookViewId="0">
      <selection activeCell="A1" sqref="A1"/>
    </sheetView>
  </sheetViews>
  <sheetFormatPr baseColWidth="8" defaultRowHeight="15" outlineLevelCol="0"/>
  <cols>
    <col width="2" customWidth="1" style="1" min="1" max="1"/>
    <col width="34" customWidth="1" style="1" min="2" max="2"/>
    <col width="90" customWidth="1" style="1" min="3" max="3"/>
    <col width="13" customWidth="1" style="1" min="4" max="4"/>
    <col width="13" customWidth="1" style="1" min="5" max="5"/>
    <col width="13" customWidth="1" style="1" min="6" max="6"/>
    <col width="13" customWidth="1" style="1" min="7" max="7"/>
    <col width="13" customWidth="1" style="1" min="8" max="8"/>
    <col width="13" customWidth="1" style="1" min="9" max="9"/>
    <col width="13" customWidth="1" style="1" min="10" max="10"/>
    <col width="13" customWidth="1" style="1" min="11" max="11"/>
    <col width="13" customWidth="1" style="1" min="12" max="12"/>
    <col width="13" customWidth="1" style="1" min="13" max="13"/>
    <col width="13" customWidth="1" style="1" min="14" max="14"/>
    <col width="13" customWidth="1" style="1" min="15" max="15"/>
    <col width="13" customWidth="1" style="1" min="16" max="16"/>
    <col width="13" customWidth="1" style="1" min="17" max="17"/>
    <col width="13" customWidth="1" style="1" min="18" max="18"/>
    <col width="13" customWidth="1" style="1" min="19" max="19"/>
    <col width="13" customWidth="1" style="1" min="20" max="20"/>
    <col width="13" customWidth="1" style="1" min="21" max="21"/>
    <col width="13" customWidth="1" style="1" min="22" max="22"/>
    <col width="13" customWidth="1" style="1" min="23" max="23"/>
    <col width="13" customWidth="1" style="1" min="24" max="24"/>
    <col width="13" customWidth="1" style="1" min="25" max="25"/>
    <col width="13" customWidth="1" style="1" min="26" max="26"/>
    <col width="13" customWidth="1" style="1" min="27" max="27"/>
    <col width="13" customWidth="1" style="1" min="28" max="28"/>
    <col width="13" customWidth="1" style="1" min="29" max="29"/>
    <col width="13" customWidth="1" style="1" min="30" max="30"/>
    <col width="13" customWidth="1" style="1" min="31" max="31"/>
    <col width="13" customWidth="1" style="1" min="32" max="32"/>
    <col width="13" customWidth="1" style="1" min="33" max="33"/>
    <col width="13" customWidth="1" style="1" min="34" max="34"/>
    <col width="13" customWidth="1" style="1" min="35" max="35"/>
    <col width="13" customWidth="1" style="1" min="36" max="36"/>
  </cols>
  <sheetData>
    <row r="1" ht="46" customHeight="1">
      <c r="A1" s="1" t="n"/>
      <c r="B1" s="2" t="n"/>
      <c r="C1" s="1" t="n"/>
      <c r="D1" s="3">
        <f>IF('Summary &amp; Assumptions'!$C$6="",IFERROR(LEFT('Summary &amp; Assumptions'!$C$7,FIND(",",'Summary &amp; Assumptions'!$C$7)-1),'Summary &amp; Assumptions'!$C$7),'Summary &amp; Assumptions'!$C$6)&amp;", "&amp;'Summary &amp; Assumptions'!$C$8&amp;", "&amp;'Summary &amp; Assumptions'!$C$9&amp;" - "&amp;'Summary &amp; Assumptions'!$C$11&amp;" Units - Built in "&amp;'Summary &amp; Assumptions'!$C$12</f>
        <v/>
      </c>
      <c r="E1" s="1" t="n"/>
      <c r="F1" s="1" t="n"/>
      <c r="G1" s="1" t="n"/>
    </row>
    <row r="2">
      <c r="A2" s="1" t="n"/>
      <c r="B2" s="4" t="inlineStr">
        <is>
          <t>Preferences</t>
        </is>
      </c>
      <c r="C2" s="1" t="n"/>
      <c r="D2" s="5" t="inlineStr">
        <is>
          <t>View Dashboard on Slung</t>
        </is>
      </c>
      <c r="E2" s="1" t="n"/>
      <c r="F2" s="1" t="n"/>
      <c r="G2" s="1" t="n"/>
    </row>
    <row r="3">
      <c r="A3" s="1" t="n"/>
      <c r="B3" s="3" t="inlineStr">
        <is>
          <t>What the AI assumed and why. Standing defaults below; deal-specific judgments at the bottom with sources.</t>
        </is>
      </c>
      <c r="C3" s="1" t="n"/>
      <c r="D3" s="1" t="n"/>
      <c r="E3" s="1" t="n"/>
      <c r="F3" s="1" t="n"/>
      <c r="G3" s="1" t="n"/>
    </row>
    <row r="4">
      <c r="A4" s="1" t="n"/>
      <c r="B4" s="6" t="inlineStr">
        <is>
          <t>Standing Preferences (your defaults)</t>
        </is>
      </c>
      <c r="C4" s="7" t="n"/>
      <c r="D4" s="7" t="n"/>
      <c r="E4" s="7" t="n"/>
      <c r="F4" s="7" t="n"/>
      <c r="G4" s="7" t="n"/>
    </row>
    <row r="5">
      <c r="A5" s="1" t="n"/>
      <c r="B5" s="86" t="inlineStr">
        <is>
          <t>Deal Timing</t>
        </is>
      </c>
      <c r="C5" s="87" t="n"/>
      <c r="D5" s="87" t="n"/>
      <c r="E5" s="87" t="n"/>
      <c r="F5" s="87" t="n"/>
      <c r="G5" s="87" t="n"/>
    </row>
    <row r="6">
      <c r="A6" s="1" t="n"/>
      <c r="B6" s="8" t="inlineStr">
        <is>
          <t>Months Until Close</t>
        </is>
      </c>
      <c r="C6" s="8" t="inlineStr">
        <is>
          <t>3 months</t>
        </is>
      </c>
      <c r="D6" s="1" t="n"/>
      <c r="E6" s="1" t="n"/>
      <c r="F6" s="1" t="n"/>
      <c r="G6" s="1" t="n"/>
    </row>
    <row r="7">
      <c r="A7" s="1" t="n"/>
      <c r="B7" s="8" t="inlineStr">
        <is>
          <t>Hold Period</t>
        </is>
      </c>
      <c r="C7" s="8" t="inlineStr">
        <is>
          <t>7 years</t>
        </is>
      </c>
      <c r="D7" s="1" t="n"/>
      <c r="E7" s="1" t="n"/>
      <c r="F7" s="1" t="n"/>
      <c r="G7" s="1" t="n"/>
    </row>
    <row r="8">
      <c r="A8" s="1" t="n"/>
      <c r="B8" s="8" t="inlineStr">
        <is>
          <t>Refi Year</t>
        </is>
      </c>
      <c r="C8" s="8" t="inlineStr">
        <is>
          <t>5 (inert until the Refi loan's Include is set) — set per deal</t>
        </is>
      </c>
      <c r="D8" s="1" t="n"/>
      <c r="E8" s="1" t="n"/>
      <c r="F8" s="1" t="n"/>
      <c r="G8" s="1" t="n"/>
    </row>
    <row r="9">
      <c r="A9" s="1" t="n"/>
      <c r="B9" s="86" t="inlineStr">
        <is>
          <t>Acquisition</t>
        </is>
      </c>
      <c r="C9" s="87" t="n"/>
      <c r="D9" s="87" t="n"/>
      <c r="E9" s="87" t="n"/>
      <c r="F9" s="87" t="n"/>
      <c r="G9" s="87" t="n"/>
    </row>
    <row r="10">
      <c r="A10" s="1" t="n"/>
      <c r="B10" s="8" t="inlineStr">
        <is>
          <t>Purchase Price</t>
        </is>
      </c>
      <c r="C10" s="8" t="inlineStr">
        <is>
          <t>Going-in NOI ÷ 5.5% cap — T12 NOI when financials exist, else the Market-Estimate seed NOI (live formula until overridden)</t>
        </is>
      </c>
      <c r="D10" s="1" t="n"/>
      <c r="E10" s="1" t="n"/>
      <c r="F10" s="1" t="n"/>
      <c r="G10" s="1" t="n"/>
    </row>
    <row r="11">
      <c r="A11" s="1" t="n"/>
      <c r="B11" s="8" t="inlineStr">
        <is>
          <t>Operating Reserve</t>
        </is>
      </c>
      <c r="C11" s="8" t="inlineStr">
        <is>
          <t>1.0% of purchase price</t>
        </is>
      </c>
      <c r="D11" s="1" t="n"/>
      <c r="E11" s="1" t="n"/>
      <c r="F11" s="1" t="n"/>
      <c r="G11" s="1" t="n"/>
    </row>
    <row r="12">
      <c r="A12" s="1" t="n"/>
      <c r="B12" s="8" t="inlineStr">
        <is>
          <t>Legal Fees</t>
        </is>
      </c>
      <c r="C12" s="8" t="inlineStr">
        <is>
          <t>$10,000</t>
        </is>
      </c>
      <c r="D12" s="1" t="n"/>
      <c r="E12" s="1" t="n"/>
      <c r="F12" s="1" t="n"/>
      <c r="G12" s="1" t="n"/>
    </row>
    <row r="13">
      <c r="A13" s="1" t="n"/>
      <c r="B13" s="8" t="inlineStr">
        <is>
          <t>Due Diligence</t>
        </is>
      </c>
      <c r="C13" s="8" t="inlineStr">
        <is>
          <t>$10,000</t>
        </is>
      </c>
      <c r="D13" s="1" t="n"/>
      <c r="E13" s="1" t="n"/>
      <c r="F13" s="1" t="n"/>
      <c r="G13" s="1" t="n"/>
    </row>
    <row r="14">
      <c r="A14" s="1" t="n"/>
      <c r="B14" s="8" t="inlineStr">
        <is>
          <t>Acquisition Fee</t>
        </is>
      </c>
      <c r="C14" s="8" t="inlineStr">
        <is>
          <t>1.0% of price</t>
        </is>
      </c>
      <c r="D14" s="1" t="n"/>
      <c r="E14" s="1" t="n"/>
      <c r="F14" s="1" t="n"/>
      <c r="G14" s="1" t="n"/>
    </row>
    <row r="15">
      <c r="A15" s="1" t="n"/>
      <c r="B15" s="86" t="inlineStr">
        <is>
          <t>Exit</t>
        </is>
      </c>
      <c r="C15" s="87" t="n"/>
      <c r="D15" s="87" t="n"/>
      <c r="E15" s="87" t="n"/>
      <c r="F15" s="87" t="n"/>
      <c r="G15" s="87" t="n"/>
    </row>
    <row r="16">
      <c r="A16" s="1" t="n"/>
      <c r="B16" s="8" t="inlineStr">
        <is>
          <t>Exit Valuation Basis</t>
        </is>
      </c>
      <c r="C16" s="8" t="inlineStr">
        <is>
          <t>Forward NOI</t>
        </is>
      </c>
      <c r="D16" s="1" t="n"/>
      <c r="E16" s="1" t="n"/>
      <c r="F16" s="1" t="n"/>
      <c r="G16" s="1" t="n"/>
    </row>
    <row r="17">
      <c r="A17" s="1" t="n"/>
      <c r="B17" s="8" t="inlineStr">
        <is>
          <t>Exit Cap Rate</t>
        </is>
      </c>
      <c r="C17" s="8" t="inlineStr">
        <is>
          <t>5.50%</t>
        </is>
      </c>
      <c r="D17" s="1" t="n"/>
      <c r="E17" s="1" t="n"/>
      <c r="F17" s="1" t="n"/>
      <c r="G17" s="1" t="n"/>
    </row>
    <row r="18">
      <c r="A18" s="1" t="n"/>
      <c r="B18" s="8" t="inlineStr">
        <is>
          <t>Selling Costs</t>
        </is>
      </c>
      <c r="C18" s="8" t="inlineStr">
        <is>
          <t>0.5%  ·  Broker 1.5%  ·  Transfer Tax 1% (WA: REET table)</t>
        </is>
      </c>
      <c r="D18" s="1" t="n"/>
      <c r="E18" s="1" t="n"/>
      <c r="F18" s="1" t="n"/>
      <c r="G18" s="1" t="n"/>
    </row>
    <row r="19">
      <c r="A19" s="1" t="n"/>
      <c r="B19" s="86" t="inlineStr">
        <is>
          <t>Property Taxes</t>
        </is>
      </c>
      <c r="C19" s="87" t="n"/>
      <c r="D19" s="87" t="n"/>
      <c r="E19" s="87" t="n"/>
      <c r="F19" s="87" t="n"/>
      <c r="G19" s="87" t="n"/>
    </row>
    <row r="20">
      <c r="A20" s="1" t="n"/>
      <c r="B20" s="8" t="inlineStr">
        <is>
          <t>Method</t>
        </is>
      </c>
      <c r="C20" s="8" t="inlineStr">
        <is>
          <t>Hold T12 + Growth (Year 1 = the chosen P&amp;L scenario's tax line; Reassess at Purchase available — State Rule table on State Tax Rates tab)</t>
        </is>
      </c>
      <c r="D20" s="1" t="n"/>
      <c r="E20" s="1" t="n"/>
      <c r="F20" s="1" t="n"/>
      <c r="G20" s="1" t="n"/>
    </row>
    <row r="21">
      <c r="A21" s="1" t="n"/>
      <c r="B21" s="86" t="inlineStr">
        <is>
          <t>Senior Debt</t>
        </is>
      </c>
      <c r="C21" s="87" t="n"/>
      <c r="D21" s="87" t="n"/>
      <c r="E21" s="87" t="n"/>
      <c r="F21" s="87" t="n"/>
      <c r="G21" s="87" t="n"/>
    </row>
    <row r="22">
      <c r="A22" s="1" t="n"/>
      <c r="B22" s="8" t="inlineStr">
        <is>
          <t>Structure</t>
        </is>
      </c>
      <c r="C22" s="8" t="inlineStr">
        <is>
          <t>DSCR 1.20x sizing · Fixed 5.50% · Amortizing, 30-yr amort · 10-yr term · 1% origination. Senior is disabled when an Assumed Loan is present.</t>
        </is>
      </c>
      <c r="D22" s="1" t="n"/>
      <c r="E22" s="1" t="n"/>
      <c r="F22" s="1" t="n"/>
      <c r="G22" s="1" t="n"/>
    </row>
    <row r="23">
      <c r="A23" s="1" t="n"/>
      <c r="B23" s="8" t="inlineStr">
        <is>
          <t>Index Curve</t>
        </is>
      </c>
      <c r="C23" s="8" t="inlineStr">
        <is>
          <t>Year 1 = current SOFR; each later year = prior year (cascading)</t>
        </is>
      </c>
      <c r="D23" s="1" t="n"/>
      <c r="E23" s="1" t="n"/>
      <c r="F23" s="1" t="n"/>
      <c r="G23" s="1" t="n"/>
    </row>
    <row r="24">
      <c r="A24" s="1" t="n"/>
      <c r="B24" s="86" t="inlineStr">
        <is>
          <t>Renovation</t>
        </is>
      </c>
      <c r="C24" s="87" t="n"/>
      <c r="D24" s="87" t="n"/>
      <c r="E24" s="87" t="n"/>
      <c r="F24" s="87" t="n"/>
      <c r="G24" s="87" t="n"/>
    </row>
    <row r="25">
      <c r="A25" s="1" t="n"/>
      <c r="B25" s="8" t="inlineStr">
        <is>
          <t>Default</t>
        </is>
      </c>
      <c r="C25" s="8" t="inlineStr">
        <is>
          <t>NO renovation. Underwritten only when the OM/flyer suggests one (scope, premiums, partial-renovation history); otherwise left blank</t>
        </is>
      </c>
      <c r="D25" s="1" t="n"/>
      <c r="E25" s="1" t="n"/>
      <c r="F25" s="1" t="n"/>
      <c r="G25" s="1" t="n"/>
    </row>
    <row r="26">
      <c r="A26" s="1" t="n"/>
      <c r="B26" s="86" t="inlineStr">
        <is>
          <t>Operations</t>
        </is>
      </c>
      <c r="C26" s="87" t="n"/>
      <c r="D26" s="87" t="n"/>
      <c r="E26" s="87" t="n"/>
      <c r="F26" s="87" t="n"/>
      <c r="G26" s="87" t="n"/>
    </row>
    <row r="27">
      <c r="A27" s="1" t="n"/>
      <c r="B27" s="8" t="inlineStr">
        <is>
          <t>Growth</t>
        </is>
      </c>
      <c r="C27" s="8" t="inlineStr">
        <is>
          <t>Rent 3.0% · Other Income 3.0% · Expenses 2.5% (years 1-10 + after)</t>
        </is>
      </c>
      <c r="D27" s="1" t="n"/>
      <c r="E27" s="1" t="n"/>
      <c r="F27" s="1" t="n"/>
      <c r="G27" s="1" t="n"/>
    </row>
    <row r="28">
      <c r="A28" s="1" t="n"/>
      <c r="B28" s="8" t="inlineStr">
        <is>
          <t>Stabilized Vacancy</t>
        </is>
      </c>
      <c r="C28" s="8" t="inlineStr">
        <is>
          <t>5.0%</t>
        </is>
      </c>
      <c r="D28" s="1" t="n"/>
      <c r="E28" s="1" t="n"/>
      <c r="F28" s="1" t="n"/>
      <c r="G28" s="1" t="n"/>
    </row>
    <row r="29">
      <c r="A29" s="1" t="n"/>
      <c r="B29" s="8" t="inlineStr">
        <is>
          <t>LTL Capture</t>
        </is>
      </c>
      <c r="C29" s="8" t="inlineStr">
        <is>
          <t>12 months — below-market rents roll to market over year 1; set 0 to opt out</t>
        </is>
      </c>
      <c r="D29" s="1" t="n"/>
      <c r="E29" s="1" t="n"/>
      <c r="F29" s="1" t="n"/>
      <c r="G29" s="1" t="n"/>
    </row>
    <row r="30">
      <c r="A30" s="1" t="n"/>
      <c r="B30" s="8" t="inlineStr">
        <is>
          <t>Stabilization</t>
        </is>
      </c>
      <c r="C30" s="8" t="inlineStr">
        <is>
          <t>12 months — actual vacancy leases up to the stabilized assumption; 0 = stabilized from month 1</t>
        </is>
      </c>
      <c r="D30" s="1" t="n"/>
      <c r="E30" s="1" t="n"/>
      <c r="F30" s="1" t="n"/>
      <c r="G30" s="1" t="n"/>
    </row>
    <row r="31">
      <c r="A31" s="1" t="n"/>
      <c r="B31" s="8" t="inlineStr">
        <is>
          <t>Replacement Reserves</t>
        </is>
      </c>
      <c r="C31" s="8" t="inlineStr">
        <is>
          <t>$250 / unit / year</t>
        </is>
      </c>
      <c r="D31" s="1" t="n"/>
      <c r="E31" s="1" t="n"/>
      <c r="F31" s="1" t="n"/>
      <c r="G31" s="1" t="n"/>
    </row>
    <row r="32">
      <c r="A32" s="1" t="n"/>
      <c r="B32" s="86" t="inlineStr">
        <is>
          <t>Equity &amp; Fees</t>
        </is>
      </c>
      <c r="C32" s="87" t="n"/>
      <c r="D32" s="87" t="n"/>
      <c r="E32" s="87" t="n"/>
      <c r="F32" s="87" t="n"/>
      <c r="G32" s="87" t="n"/>
    </row>
    <row r="33">
      <c r="A33" s="1" t="n"/>
      <c r="B33" s="8" t="inlineStr">
        <is>
          <t>Waterfall</t>
        </is>
      </c>
      <c r="C33" s="8" t="inlineStr">
        <is>
          <t>Tiered: 8% pref (compounding, cumulative) → 12/15/20% IRR tiers at 20/40/50% promote → residual 50% · GP co-invest 10%</t>
        </is>
      </c>
      <c r="D33" s="1" t="n"/>
      <c r="E33" s="1" t="n"/>
      <c r="F33" s="1" t="n"/>
      <c r="G33" s="1" t="n"/>
    </row>
    <row r="34">
      <c r="A34" s="1" t="n"/>
      <c r="B34" s="8" t="inlineStr">
        <is>
          <t>AM Fee</t>
        </is>
      </c>
      <c r="C34" s="8" t="inlineStr">
        <is>
          <t>1.0% of invested equity</t>
        </is>
      </c>
      <c r="D34" s="1" t="n"/>
      <c r="E34" s="1" t="n"/>
      <c r="F34" s="1" t="n"/>
      <c r="G34" s="1" t="n"/>
    </row>
    <row r="35">
      <c r="A35" s="1" t="n"/>
      <c r="B35" s="8" t="inlineStr">
        <is>
          <t>Disposition Fee</t>
        </is>
      </c>
      <c r="C35" s="8" t="inlineStr">
        <is>
          <t>1.0% of sale price</t>
        </is>
      </c>
      <c r="D35" s="1" t="n"/>
      <c r="E35" s="1" t="n"/>
      <c r="F35" s="1" t="n"/>
      <c r="G35" s="1" t="n"/>
    </row>
    <row r="36">
      <c r="A36" s="1" t="n"/>
      <c r="B36" s="1" t="n"/>
      <c r="C36" s="1" t="n"/>
      <c r="D36" s="1" t="n"/>
      <c r="E36" s="1" t="n"/>
      <c r="F36" s="1" t="n"/>
      <c r="G36" s="1" t="n"/>
    </row>
    <row r="37">
      <c r="A37" s="1" t="n"/>
      <c r="B37" s="6" t="inlineStr">
        <is>
          <t>Fallbacks (used only when no T12 / rent roll)</t>
        </is>
      </c>
      <c r="C37" s="7" t="n"/>
      <c r="D37" s="7" t="n"/>
      <c r="E37" s="7" t="n"/>
      <c r="F37" s="7" t="n"/>
      <c r="G37" s="7" t="n"/>
    </row>
    <row r="38">
      <c r="A38" s="1" t="n"/>
      <c r="B38" s="8" t="inlineStr">
        <is>
          <t>Fallback OpEx Ratio (no T12)</t>
        </is>
      </c>
      <c r="C38" s="13" t="n">
        <v>0.4</v>
      </c>
      <c r="D38" s="1" t="n"/>
      <c r="E38" s="1" t="n"/>
      <c r="F38" s="1" t="n"/>
      <c r="G38" s="1" t="n"/>
    </row>
    <row r="39">
      <c r="A39" s="1" t="n"/>
      <c r="B39" s="8" t="inlineStr">
        <is>
          <t>Fallback Avg Rent /unit/mo (no T12)</t>
        </is>
      </c>
      <c r="C39" s="10" t="n">
        <v>0</v>
      </c>
      <c r="D39" s="1" t="n"/>
      <c r="E39" s="1" t="n"/>
      <c r="F39" s="1" t="n"/>
      <c r="G39" s="1" t="n"/>
    </row>
    <row r="40">
      <c r="A40" s="1" t="n"/>
      <c r="B40" s="1" t="n"/>
      <c r="C40" s="1" t="n"/>
      <c r="D40" s="1" t="n"/>
      <c r="E40" s="1" t="n"/>
      <c r="F40" s="1" t="n"/>
      <c r="G40" s="1" t="n"/>
    </row>
    <row r="41">
      <c r="A41" s="1" t="n"/>
      <c r="B41" s="6" t="inlineStr">
        <is>
          <t>AI Instructions (applied by the app's AI pass)</t>
        </is>
      </c>
      <c r="C41" s="7" t="n"/>
      <c r="D41" s="7" t="n"/>
      <c r="E41" s="7" t="n"/>
      <c r="F41" s="7" t="n"/>
      <c r="G41" s="7" t="n"/>
    </row>
    <row r="42">
      <c r="A42" s="1" t="n"/>
      <c r="B42" s="8" t="inlineStr">
        <is>
          <t>AI Instruction — Property Tax</t>
        </is>
      </c>
      <c r="C42" s="9" t="n"/>
      <c r="D42" s="1" t="n"/>
      <c r="E42" s="1" t="n"/>
      <c r="F42" s="1" t="n"/>
      <c r="G42" s="1" t="n"/>
    </row>
    <row r="43">
      <c r="A43" s="1" t="n"/>
      <c r="B43" s="8" t="inlineStr">
        <is>
          <t>AI Instruction — Transfer Tax</t>
        </is>
      </c>
      <c r="C43" s="9" t="n"/>
      <c r="D43" s="1" t="n"/>
      <c r="E43" s="1" t="n"/>
      <c r="F43" s="1" t="n"/>
      <c r="G43" s="1" t="n"/>
    </row>
    <row r="44">
      <c r="A44" s="1" t="n"/>
      <c r="B44" s="1" t="n"/>
      <c r="C44" s="1" t="n"/>
      <c r="D44" s="1" t="n"/>
      <c r="E44" s="1" t="n"/>
      <c r="F44" s="1" t="n"/>
      <c r="G44" s="1" t="n"/>
    </row>
    <row r="45">
      <c r="A45" s="1" t="n"/>
      <c r="B45" s="6" t="inlineStr">
        <is>
          <t>Deal-Specific Judgments (this underwriting)</t>
        </is>
      </c>
      <c r="C45" s="7" t="n"/>
      <c r="D45" s="7" t="n"/>
      <c r="E45" s="7" t="n"/>
      <c r="F45" s="7" t="n"/>
      <c r="G45" s="7" t="n"/>
    </row>
    <row r="46">
      <c r="A46" s="1" t="n"/>
      <c r="B46" s="17" t="inlineStr">
        <is>
          <t>Judgment</t>
        </is>
      </c>
      <c r="C46" s="17" t="inlineStr">
        <is>
          <t>Source / Rationale</t>
        </is>
      </c>
      <c r="D46" s="1" t="n"/>
      <c r="E46" s="1" t="n"/>
      <c r="F46" s="1" t="n"/>
      <c r="G46" s="1" t="n"/>
    </row>
    <row r="47">
      <c r="A47" s="1" t="n"/>
      <c r="B47" s="9" t="n"/>
      <c r="C47" s="9" t="n"/>
      <c r="D47" s="1" t="n"/>
      <c r="E47" s="1" t="n"/>
      <c r="F47" s="1" t="n"/>
      <c r="G47" s="1" t="n"/>
    </row>
    <row r="48">
      <c r="A48" s="1" t="n"/>
      <c r="B48" s="9" t="n"/>
      <c r="C48" s="9" t="n"/>
      <c r="D48" s="1" t="n"/>
      <c r="E48" s="1" t="n"/>
      <c r="F48" s="1" t="n"/>
      <c r="G48" s="1" t="n"/>
    </row>
    <row r="49">
      <c r="A49" s="1" t="n"/>
      <c r="B49" s="9" t="n"/>
      <c r="C49" s="9" t="n"/>
      <c r="D49" s="1" t="n"/>
      <c r="E49" s="1" t="n"/>
      <c r="F49" s="1" t="n"/>
      <c r="G49" s="1" t="n"/>
    </row>
    <row r="50">
      <c r="A50" s="1" t="n"/>
      <c r="B50" s="9" t="n"/>
      <c r="C50" s="9" t="n"/>
      <c r="D50" s="1" t="n"/>
      <c r="E50" s="1" t="n"/>
      <c r="F50" s="1" t="n"/>
      <c r="G50" s="1" t="n"/>
    </row>
    <row r="51">
      <c r="A51" s="1" t="n"/>
      <c r="B51" s="9" t="n"/>
      <c r="C51" s="9" t="n"/>
      <c r="D51" s="1" t="n"/>
      <c r="E51" s="1" t="n"/>
      <c r="F51" s="1" t="n"/>
      <c r="G51" s="1" t="n"/>
    </row>
    <row r="52">
      <c r="A52" s="1" t="n"/>
      <c r="B52" s="9" t="n"/>
      <c r="C52" s="9" t="n"/>
      <c r="D52" s="1" t="n"/>
      <c r="E52" s="1" t="n"/>
      <c r="F52" s="1" t="n"/>
      <c r="G52" s="1" t="n"/>
    </row>
    <row r="53">
      <c r="A53" s="1" t="n"/>
      <c r="B53" s="9" t="n"/>
      <c r="C53" s="9" t="n"/>
      <c r="D53" s="1" t="n"/>
      <c r="E53" s="1" t="n"/>
      <c r="F53" s="1" t="n"/>
      <c r="G53" s="1" t="n"/>
    </row>
    <row r="54">
      <c r="A54" s="1" t="n"/>
      <c r="B54" s="9" t="n"/>
      <c r="C54" s="9" t="n"/>
      <c r="D54" s="1" t="n"/>
      <c r="E54" s="1" t="n"/>
      <c r="F54" s="1" t="n"/>
      <c r="G54" s="1" t="n"/>
    </row>
    <row r="55">
      <c r="A55" s="1" t="n"/>
      <c r="B55" s="9" t="n"/>
      <c r="C55" s="9" t="n"/>
      <c r="D55" s="1" t="n"/>
      <c r="E55" s="1" t="n"/>
      <c r="F55" s="1" t="n"/>
      <c r="G55" s="1" t="n"/>
    </row>
    <row r="56">
      <c r="A56" s="1" t="n"/>
      <c r="B56" s="9" t="n"/>
      <c r="C56" s="9" t="n"/>
      <c r="D56" s="1" t="n"/>
      <c r="E56" s="1" t="n"/>
      <c r="F56" s="1" t="n"/>
      <c r="G56" s="1" t="n"/>
    </row>
    <row r="57">
      <c r="A57" s="1" t="n"/>
      <c r="B57" s="9" t="n"/>
      <c r="C57" s="9" t="n"/>
      <c r="D57" s="1" t="n"/>
      <c r="E57" s="1" t="n"/>
      <c r="F57" s="1" t="n"/>
      <c r="G57" s="1" t="n"/>
    </row>
    <row r="58">
      <c r="A58" s="1" t="n"/>
      <c r="B58" s="9" t="n"/>
      <c r="C58" s="9" t="n"/>
      <c r="D58" s="1" t="n"/>
      <c r="E58" s="1" t="n"/>
      <c r="F58" s="1" t="n"/>
      <c r="G58" s="1" t="n"/>
    </row>
  </sheetData>
  <sheetProtection selectLockedCells="1" selectUnlockedCells="0" algorithmName="SHA-512" sheet="1" objects="1" insertRows="1" insertHyperlinks="1" autoFilter="1" scenarios="1" formatColumns="0" deleteColumns="1" insertColumns="1" pivotTables="1" deleteRows="1" formatCells="0" saltValue="kR2Lz1QJEyJLiHJBsVqNvQ==" formatRows="0" sort="1" spinCount="100000" hashValue="Npj19r5N85qwBCk4c3p/jsOKtxM6e1g92r/EaiYi0mQDXZkMNPqE1mHXM8k0HpofVJF1JugduiuQXHm1M5sHLA=="/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G5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 outlineLevelCol="0"/>
  <cols>
    <col width="2" customWidth="1" style="1" min="1" max="1"/>
    <col width="8" customWidth="1" style="1" min="2" max="2"/>
    <col width="13" customWidth="1" style="1" min="3" max="3"/>
    <col width="16" customWidth="1" style="1" min="4" max="4"/>
    <col width="17" customWidth="1" style="1" min="5" max="5"/>
    <col width="16" customWidth="1" style="1" min="6" max="6"/>
    <col width="48" customWidth="1" style="1" min="7" max="7"/>
    <col width="13" customWidth="1" style="1" min="8" max="8"/>
    <col width="13" customWidth="1" style="1" min="9" max="9"/>
    <col width="13" customWidth="1" style="1" min="10" max="10"/>
    <col width="13" customWidth="1" style="1" min="11" max="11"/>
    <col width="13" customWidth="1" style="1" min="12" max="12"/>
    <col width="13" customWidth="1" style="1" min="13" max="13"/>
    <col width="13" customWidth="1" style="1" min="14" max="14"/>
    <col width="13" customWidth="1" style="1" min="15" max="15"/>
    <col width="13" customWidth="1" style="1" min="16" max="16"/>
    <col width="13" customWidth="1" style="1" min="17" max="17"/>
    <col width="13" customWidth="1" style="1" min="18" max="18"/>
    <col width="13" customWidth="1" style="1" min="19" max="19"/>
    <col width="13" customWidth="1" style="1" min="20" max="20"/>
    <col width="13" customWidth="1" style="1" min="21" max="21"/>
    <col width="13" customWidth="1" style="1" min="22" max="22"/>
    <col width="13" customWidth="1" style="1" min="23" max="23"/>
    <col width="13" customWidth="1" style="1" min="24" max="24"/>
    <col width="13" customWidth="1" style="1" min="25" max="25"/>
    <col width="13" customWidth="1" style="1" min="26" max="26"/>
    <col width="13" customWidth="1" style="1" min="27" max="27"/>
    <col width="13" customWidth="1" style="1" min="28" max="28"/>
    <col width="13" customWidth="1" style="1" min="29" max="29"/>
    <col width="13" customWidth="1" style="1" min="30" max="30"/>
    <col width="13" customWidth="1" style="1" min="31" max="31"/>
    <col width="13" customWidth="1" style="1" min="32" max="32"/>
    <col width="13" customWidth="1" style="1" min="33" max="33"/>
    <col width="13" customWidth="1" style="1" min="34" max="34"/>
    <col width="13" customWidth="1" style="1" min="35" max="35"/>
    <col width="13" customWidth="1" style="1" min="36" max="36"/>
  </cols>
  <sheetData>
    <row r="1" ht="46" customHeight="1">
      <c r="A1" s="1" t="n"/>
      <c r="B1" s="2" t="n"/>
      <c r="C1" s="1" t="n"/>
      <c r="D1" s="3">
        <f>IF('Summary &amp; Assumptions'!$C$6="",IFERROR(LEFT('Summary &amp; Assumptions'!$C$7,FIND(",",'Summary &amp; Assumptions'!$C$7)-1),'Summary &amp; Assumptions'!$C$7),'Summary &amp; Assumptions'!$C$6)&amp;", "&amp;'Summary &amp; Assumptions'!$C$8&amp;", "&amp;'Summary &amp; Assumptions'!$C$9&amp;" - "&amp;'Summary &amp; Assumptions'!$C$11&amp;" Units - Built in "&amp;'Summary &amp; Assumptions'!$C$12</f>
        <v/>
      </c>
      <c r="E1" s="1" t="n"/>
      <c r="F1" s="1" t="n"/>
      <c r="G1" s="1" t="n"/>
    </row>
    <row r="2">
      <c r="A2" s="1" t="n"/>
      <c r="B2" s="4" t="inlineStr">
        <is>
          <t>State Property-Tax Rules</t>
        </is>
      </c>
      <c r="C2" s="1" t="n"/>
      <c r="D2" s="5" t="inlineStr">
        <is>
          <t>View Dashboard on Slung</t>
        </is>
      </c>
      <c r="E2" s="1" t="n"/>
      <c r="F2" s="1" t="n"/>
      <c r="G2" s="1" t="n"/>
    </row>
    <row r="3">
      <c r="A3" s="1" t="n"/>
      <c r="B3" s="3" t="inlineStr">
        <is>
          <t>Drives 'Reassess at Purchase (State Rule)'. Override on Assumptions (grouped rows under Property Taxes) or via your AI instruction.</t>
        </is>
      </c>
      <c r="C3" s="1" t="n"/>
      <c r="D3" s="1" t="n"/>
      <c r="E3" s="1" t="n"/>
      <c r="F3" s="1" t="n"/>
      <c r="G3" s="1" t="n"/>
    </row>
    <row r="4">
      <c r="A4" s="1" t="n"/>
      <c r="B4" s="1" t="n"/>
      <c r="C4" s="1" t="n"/>
      <c r="D4" s="1" t="n"/>
      <c r="E4" s="1" t="n"/>
      <c r="F4" s="1" t="n"/>
      <c r="G4" s="1" t="n"/>
    </row>
    <row r="5">
      <c r="A5" s="1" t="n"/>
      <c r="B5" s="1" t="n"/>
      <c r="C5" s="1" t="n"/>
      <c r="D5" s="1" t="n"/>
      <c r="E5" s="1" t="n"/>
      <c r="F5" s="1" t="n"/>
      <c r="G5" s="1" t="n"/>
    </row>
    <row r="6">
      <c r="A6" s="1" t="n"/>
      <c r="B6" s="6" t="inlineStr">
        <is>
          <t>State</t>
        </is>
      </c>
      <c r="C6" s="6" t="inlineStr">
        <is>
          <t>Eff. Tax Rate</t>
        </is>
      </c>
      <c r="D6" s="6" t="inlineStr">
        <is>
          <t>Reassess on Sale</t>
        </is>
      </c>
      <c r="E6" s="6" t="inlineStr">
        <is>
          <t>Assessed % of Price</t>
        </is>
      </c>
      <c r="F6" s="6" t="inlineStr">
        <is>
          <t>Annual Growth Cap</t>
        </is>
      </c>
      <c r="G6" s="6" t="inlineStr">
        <is>
          <t>Notes</t>
        </is>
      </c>
    </row>
    <row r="7">
      <c r="A7" s="1" t="n"/>
      <c r="B7" s="17" t="inlineStr">
        <is>
          <t>AL</t>
        </is>
      </c>
      <c r="C7" s="41" t="n">
        <v>0.004</v>
      </c>
      <c r="D7" s="88" t="inlineStr">
        <is>
          <t>Yes</t>
        </is>
      </c>
      <c r="E7" s="89" t="n">
        <v>1</v>
      </c>
      <c r="F7" s="1" t="n"/>
      <c r="G7" s="3" t="inlineStr"/>
    </row>
    <row r="8">
      <c r="A8" s="1" t="n"/>
      <c r="B8" s="90" t="inlineStr">
        <is>
          <t>AK</t>
        </is>
      </c>
      <c r="C8" s="91" t="n">
        <v>0.0104</v>
      </c>
      <c r="D8" s="92" t="inlineStr">
        <is>
          <t>Yes</t>
        </is>
      </c>
      <c r="E8" s="93" t="n">
        <v>1</v>
      </c>
      <c r="F8" s="87" t="n"/>
      <c r="G8" s="94" t="inlineStr"/>
    </row>
    <row r="9">
      <c r="A9" s="1" t="n"/>
      <c r="B9" s="17" t="inlineStr">
        <is>
          <t>AZ</t>
        </is>
      </c>
      <c r="C9" s="41" t="n">
        <v>0.0063</v>
      </c>
      <c r="D9" s="88" t="inlineStr">
        <is>
          <t>Yes</t>
        </is>
      </c>
      <c r="E9" s="89" t="n">
        <v>1</v>
      </c>
      <c r="F9" s="89" t="n">
        <v>0.05</v>
      </c>
      <c r="G9" s="3" t="inlineStr">
        <is>
          <t>LPV growth capped 5%/yr</t>
        </is>
      </c>
    </row>
    <row r="10">
      <c r="A10" s="1" t="n"/>
      <c r="B10" s="90" t="inlineStr">
        <is>
          <t>AR</t>
        </is>
      </c>
      <c r="C10" s="91" t="n">
        <v>0.0064</v>
      </c>
      <c r="D10" s="92" t="inlineStr">
        <is>
          <t>Yes</t>
        </is>
      </c>
      <c r="E10" s="93" t="n">
        <v>1</v>
      </c>
      <c r="F10" s="87" t="n"/>
      <c r="G10" s="94" t="inlineStr"/>
    </row>
    <row r="11">
      <c r="A11" s="1" t="n"/>
      <c r="B11" s="17" t="inlineStr">
        <is>
          <t>CA</t>
        </is>
      </c>
      <c r="C11" s="41" t="n">
        <v>0.011</v>
      </c>
      <c r="D11" s="88" t="inlineStr">
        <is>
          <t>Yes</t>
        </is>
      </c>
      <c r="E11" s="89" t="n">
        <v>1</v>
      </c>
      <c r="F11" s="89" t="n">
        <v>0.02</v>
      </c>
      <c r="G11" s="3" t="inlineStr">
        <is>
          <t>Prop 13: reassess at sale, 2%/yr cap</t>
        </is>
      </c>
    </row>
    <row r="12">
      <c r="A12" s="1" t="n"/>
      <c r="B12" s="90" t="inlineStr">
        <is>
          <t>CO</t>
        </is>
      </c>
      <c r="C12" s="91" t="n">
        <v>0.0051</v>
      </c>
      <c r="D12" s="92" t="inlineStr">
        <is>
          <t>Yes</t>
        </is>
      </c>
      <c r="E12" s="93" t="n">
        <v>1</v>
      </c>
      <c r="F12" s="87" t="n"/>
      <c r="G12" s="94" t="inlineStr">
        <is>
          <t>Biennial reassessment</t>
        </is>
      </c>
    </row>
    <row r="13">
      <c r="A13" s="1" t="n"/>
      <c r="B13" s="17" t="inlineStr">
        <is>
          <t>CT</t>
        </is>
      </c>
      <c r="C13" s="41" t="n">
        <v>0.0215</v>
      </c>
      <c r="D13" s="88" t="inlineStr">
        <is>
          <t>No</t>
        </is>
      </c>
      <c r="E13" s="89" t="n">
        <v>1</v>
      </c>
      <c r="F13" s="1" t="n"/>
      <c r="G13" s="3" t="inlineStr">
        <is>
          <t>Revaluation cycles, not sale-triggered</t>
        </is>
      </c>
    </row>
    <row r="14">
      <c r="A14" s="1" t="n"/>
      <c r="B14" s="90" t="inlineStr">
        <is>
          <t>DE</t>
        </is>
      </c>
      <c r="C14" s="91" t="n">
        <v>0.0058</v>
      </c>
      <c r="D14" s="92" t="inlineStr">
        <is>
          <t>No</t>
        </is>
      </c>
      <c r="E14" s="93" t="n">
        <v>1</v>
      </c>
      <c r="F14" s="87" t="n"/>
      <c r="G14" s="94" t="inlineStr"/>
    </row>
    <row r="15">
      <c r="A15" s="1" t="n"/>
      <c r="B15" s="17" t="inlineStr">
        <is>
          <t>DC</t>
        </is>
      </c>
      <c r="C15" s="41" t="n">
        <v>0.0057</v>
      </c>
      <c r="D15" s="88" t="inlineStr">
        <is>
          <t>Yes</t>
        </is>
      </c>
      <c r="E15" s="89" t="n">
        <v>1</v>
      </c>
      <c r="F15" s="1" t="n"/>
      <c r="G15" s="3" t="inlineStr"/>
    </row>
    <row r="16">
      <c r="A16" s="1" t="n"/>
      <c r="B16" s="90" t="inlineStr">
        <is>
          <t>FL</t>
        </is>
      </c>
      <c r="C16" s="91" t="n">
        <v>0.0091</v>
      </c>
      <c r="D16" s="92" t="inlineStr">
        <is>
          <t>Yes</t>
        </is>
      </c>
      <c r="E16" s="93" t="n">
        <v>0.9</v>
      </c>
      <c r="F16" s="93" t="n">
        <v>0.1</v>
      </c>
      <c r="G16" s="94" t="inlineStr">
        <is>
          <t>Non-homestead 10% cap; ~90% of price typical</t>
        </is>
      </c>
    </row>
    <row r="17">
      <c r="A17" s="1" t="n"/>
      <c r="B17" s="17" t="inlineStr">
        <is>
          <t>GA</t>
        </is>
      </c>
      <c r="C17" s="41" t="n">
        <v>0.0092</v>
      </c>
      <c r="D17" s="88" t="inlineStr">
        <is>
          <t>Yes</t>
        </is>
      </c>
      <c r="E17" s="89" t="n">
        <v>1</v>
      </c>
      <c r="F17" s="1" t="n"/>
      <c r="G17" s="3" t="inlineStr">
        <is>
          <t>Sale price commonly adopted</t>
        </is>
      </c>
    </row>
    <row r="18">
      <c r="A18" s="1" t="n"/>
      <c r="B18" s="90" t="inlineStr">
        <is>
          <t>HI</t>
        </is>
      </c>
      <c r="C18" s="91" t="n">
        <v>0.0029</v>
      </c>
      <c r="D18" s="92" t="inlineStr">
        <is>
          <t>Yes</t>
        </is>
      </c>
      <c r="E18" s="93" t="n">
        <v>1</v>
      </c>
      <c r="F18" s="87" t="n"/>
      <c r="G18" s="94" t="inlineStr"/>
    </row>
    <row r="19">
      <c r="A19" s="1" t="n"/>
      <c r="B19" s="17" t="inlineStr">
        <is>
          <t>ID</t>
        </is>
      </c>
      <c r="C19" s="41" t="n">
        <v>0.0067</v>
      </c>
      <c r="D19" s="88" t="inlineStr">
        <is>
          <t>Yes</t>
        </is>
      </c>
      <c r="E19" s="89" t="n">
        <v>1</v>
      </c>
      <c r="F19" s="1" t="n"/>
      <c r="G19" s="3" t="inlineStr"/>
    </row>
    <row r="20">
      <c r="A20" s="1" t="n"/>
      <c r="B20" s="90" t="inlineStr">
        <is>
          <t>IL</t>
        </is>
      </c>
      <c r="C20" s="91" t="n">
        <v>0.0223</v>
      </c>
      <c r="D20" s="92" t="inlineStr">
        <is>
          <t>No</t>
        </is>
      </c>
      <c r="E20" s="93" t="n">
        <v>1</v>
      </c>
      <c r="F20" s="87" t="n"/>
      <c r="G20" s="94" t="inlineStr">
        <is>
          <t>Township cycles; Cook Co. levels</t>
        </is>
      </c>
    </row>
    <row r="21">
      <c r="A21" s="1" t="n"/>
      <c r="B21" s="17" t="inlineStr">
        <is>
          <t>IN</t>
        </is>
      </c>
      <c r="C21" s="41" t="n">
        <v>0.008399999999999999</v>
      </c>
      <c r="D21" s="88" t="inlineStr">
        <is>
          <t>Yes</t>
        </is>
      </c>
      <c r="E21" s="89" t="n">
        <v>1</v>
      </c>
      <c r="F21" s="1" t="n"/>
      <c r="G21" s="3" t="inlineStr"/>
    </row>
    <row r="22">
      <c r="A22" s="1" t="n"/>
      <c r="B22" s="90" t="inlineStr">
        <is>
          <t>IA</t>
        </is>
      </c>
      <c r="C22" s="91" t="n">
        <v>0.0157</v>
      </c>
      <c r="D22" s="92" t="inlineStr">
        <is>
          <t>Yes</t>
        </is>
      </c>
      <c r="E22" s="93" t="n">
        <v>1</v>
      </c>
      <c r="F22" s="87" t="n"/>
      <c r="G22" s="94" t="inlineStr"/>
    </row>
    <row r="23">
      <c r="A23" s="1" t="n"/>
      <c r="B23" s="17" t="inlineStr">
        <is>
          <t>KS</t>
        </is>
      </c>
      <c r="C23" s="41" t="n">
        <v>0.0134</v>
      </c>
      <c r="D23" s="88" t="inlineStr">
        <is>
          <t>Yes</t>
        </is>
      </c>
      <c r="E23" s="89" t="n">
        <v>1</v>
      </c>
      <c r="F23" s="1" t="n"/>
      <c r="G23" s="3" t="inlineStr"/>
    </row>
    <row r="24">
      <c r="A24" s="1" t="n"/>
      <c r="B24" s="90" t="inlineStr">
        <is>
          <t>KY</t>
        </is>
      </c>
      <c r="C24" s="91" t="n">
        <v>0.008500000000000001</v>
      </c>
      <c r="D24" s="92" t="inlineStr">
        <is>
          <t>Yes</t>
        </is>
      </c>
      <c r="E24" s="93" t="n">
        <v>1</v>
      </c>
      <c r="F24" s="87" t="n"/>
      <c r="G24" s="94" t="inlineStr"/>
    </row>
    <row r="25">
      <c r="A25" s="1" t="n"/>
      <c r="B25" s="17" t="inlineStr">
        <is>
          <t>LA</t>
        </is>
      </c>
      <c r="C25" s="41" t="n">
        <v>0.0056</v>
      </c>
      <c r="D25" s="88" t="inlineStr">
        <is>
          <t>Yes</t>
        </is>
      </c>
      <c r="E25" s="89" t="n">
        <v>1</v>
      </c>
      <c r="F25" s="1" t="n"/>
      <c r="G25" s="3" t="inlineStr"/>
    </row>
    <row r="26">
      <c r="A26" s="1" t="n"/>
      <c r="B26" s="90" t="inlineStr">
        <is>
          <t>ME</t>
        </is>
      </c>
      <c r="C26" s="91" t="n">
        <v>0.0124</v>
      </c>
      <c r="D26" s="92" t="inlineStr">
        <is>
          <t>Yes</t>
        </is>
      </c>
      <c r="E26" s="93" t="n">
        <v>1</v>
      </c>
      <c r="F26" s="87" t="n"/>
      <c r="G26" s="94" t="inlineStr"/>
    </row>
    <row r="27">
      <c r="A27" s="1" t="n"/>
      <c r="B27" s="17" t="inlineStr">
        <is>
          <t>MD</t>
        </is>
      </c>
      <c r="C27" s="41" t="n">
        <v>0.0105</v>
      </c>
      <c r="D27" s="88" t="inlineStr">
        <is>
          <t>No</t>
        </is>
      </c>
      <c r="E27" s="89" t="n">
        <v>1</v>
      </c>
      <c r="F27" s="1" t="n"/>
      <c r="G27" s="3" t="inlineStr">
        <is>
          <t>Triennial cycle</t>
        </is>
      </c>
    </row>
    <row r="28">
      <c r="A28" s="1" t="n"/>
      <c r="B28" s="90" t="inlineStr">
        <is>
          <t>MA</t>
        </is>
      </c>
      <c r="C28" s="91" t="n">
        <v>0.012</v>
      </c>
      <c r="D28" s="92" t="inlineStr">
        <is>
          <t>Yes</t>
        </is>
      </c>
      <c r="E28" s="93" t="n">
        <v>1</v>
      </c>
      <c r="F28" s="87" t="n"/>
      <c r="G28" s="94" t="inlineStr"/>
    </row>
    <row r="29">
      <c r="A29" s="1" t="n"/>
      <c r="B29" s="17" t="inlineStr">
        <is>
          <t>MI</t>
        </is>
      </c>
      <c r="C29" s="41" t="n">
        <v>0.0148</v>
      </c>
      <c r="D29" s="88" t="inlineStr">
        <is>
          <t>Yes</t>
        </is>
      </c>
      <c r="E29" s="89" t="n">
        <v>1</v>
      </c>
      <c r="F29" s="89" t="n">
        <v>0.05</v>
      </c>
      <c r="G29" s="3" t="inlineStr">
        <is>
          <t>Taxable value uncaps at sale; then capped</t>
        </is>
      </c>
    </row>
    <row r="30">
      <c r="A30" s="1" t="n"/>
      <c r="B30" s="90" t="inlineStr">
        <is>
          <t>MN</t>
        </is>
      </c>
      <c r="C30" s="91" t="n">
        <v>0.0111</v>
      </c>
      <c r="D30" s="92" t="inlineStr">
        <is>
          <t>Yes</t>
        </is>
      </c>
      <c r="E30" s="93" t="n">
        <v>1</v>
      </c>
      <c r="F30" s="87" t="n"/>
      <c r="G30" s="94" t="inlineStr"/>
    </row>
    <row r="31">
      <c r="A31" s="1" t="n"/>
      <c r="B31" s="17" t="inlineStr">
        <is>
          <t>MS</t>
        </is>
      </c>
      <c r="C31" s="41" t="n">
        <v>0.0067</v>
      </c>
      <c r="D31" s="88" t="inlineStr">
        <is>
          <t>Yes</t>
        </is>
      </c>
      <c r="E31" s="89" t="n">
        <v>1</v>
      </c>
      <c r="F31" s="1" t="n"/>
      <c r="G31" s="3" t="inlineStr"/>
    </row>
    <row r="32">
      <c r="A32" s="1" t="n"/>
      <c r="B32" s="90" t="inlineStr">
        <is>
          <t>MO</t>
        </is>
      </c>
      <c r="C32" s="91" t="n">
        <v>0.0101</v>
      </c>
      <c r="D32" s="92" t="inlineStr">
        <is>
          <t>Yes</t>
        </is>
      </c>
      <c r="E32" s="93" t="n">
        <v>1</v>
      </c>
      <c r="F32" s="87" t="n"/>
      <c r="G32" s="94" t="inlineStr"/>
    </row>
    <row r="33">
      <c r="A33" s="1" t="n"/>
      <c r="B33" s="17" t="inlineStr">
        <is>
          <t>MT</t>
        </is>
      </c>
      <c r="C33" s="41" t="n">
        <v>0.0074</v>
      </c>
      <c r="D33" s="88" t="inlineStr">
        <is>
          <t>Yes</t>
        </is>
      </c>
      <c r="E33" s="89" t="n">
        <v>1</v>
      </c>
      <c r="F33" s="1" t="n"/>
      <c r="G33" s="3" t="inlineStr"/>
    </row>
    <row r="34">
      <c r="A34" s="1" t="n"/>
      <c r="B34" s="90" t="inlineStr">
        <is>
          <t>NE</t>
        </is>
      </c>
      <c r="C34" s="91" t="n">
        <v>0.0163</v>
      </c>
      <c r="D34" s="92" t="inlineStr">
        <is>
          <t>Yes</t>
        </is>
      </c>
      <c r="E34" s="93" t="n">
        <v>1</v>
      </c>
      <c r="F34" s="87" t="n"/>
      <c r="G34" s="94" t="inlineStr"/>
    </row>
    <row r="35">
      <c r="A35" s="1" t="n"/>
      <c r="B35" s="17" t="inlineStr">
        <is>
          <t>NV</t>
        </is>
      </c>
      <c r="C35" s="41" t="n">
        <v>0.0059</v>
      </c>
      <c r="D35" s="88" t="inlineStr">
        <is>
          <t>Yes</t>
        </is>
      </c>
      <c r="E35" s="89" t="n">
        <v>1</v>
      </c>
      <c r="F35" s="89" t="n">
        <v>0.08</v>
      </c>
      <c r="G35" s="3" t="inlineStr">
        <is>
          <t>8% commercial abatement cap</t>
        </is>
      </c>
    </row>
    <row r="36">
      <c r="A36" s="1" t="n"/>
      <c r="B36" s="90" t="inlineStr">
        <is>
          <t>NH</t>
        </is>
      </c>
      <c r="C36" s="91" t="n">
        <v>0.0209</v>
      </c>
      <c r="D36" s="92" t="inlineStr">
        <is>
          <t>Yes</t>
        </is>
      </c>
      <c r="E36" s="93" t="n">
        <v>1</v>
      </c>
      <c r="F36" s="87" t="n"/>
      <c r="G36" s="94" t="inlineStr"/>
    </row>
    <row r="37">
      <c r="A37" s="1" t="n"/>
      <c r="B37" s="17" t="inlineStr">
        <is>
          <t>NJ</t>
        </is>
      </c>
      <c r="C37" s="41" t="n">
        <v>0.0223</v>
      </c>
      <c r="D37" s="88" t="inlineStr">
        <is>
          <t>No</t>
        </is>
      </c>
      <c r="E37" s="89" t="n">
        <v>1</v>
      </c>
      <c r="F37" s="1" t="n"/>
      <c r="G37" s="3" t="inlineStr">
        <is>
          <t>Municipal reval cycles</t>
        </is>
      </c>
    </row>
    <row r="38">
      <c r="A38" s="1" t="n"/>
      <c r="B38" s="90" t="inlineStr">
        <is>
          <t>NM</t>
        </is>
      </c>
      <c r="C38" s="91" t="n">
        <v>0.0067</v>
      </c>
      <c r="D38" s="92" t="inlineStr">
        <is>
          <t>Yes</t>
        </is>
      </c>
      <c r="E38" s="93" t="n">
        <v>1</v>
      </c>
      <c r="F38" s="87" t="n"/>
      <c r="G38" s="94" t="inlineStr"/>
    </row>
    <row r="39">
      <c r="A39" s="1" t="n"/>
      <c r="B39" s="17" t="inlineStr">
        <is>
          <t>NY</t>
        </is>
      </c>
      <c r="C39" s="41" t="n">
        <v>0.0173</v>
      </c>
      <c r="D39" s="88" t="inlineStr">
        <is>
          <t>No</t>
        </is>
      </c>
      <c r="E39" s="89" t="n">
        <v>1</v>
      </c>
      <c r="F39" s="1" t="n"/>
      <c r="G39" s="3" t="inlineStr">
        <is>
          <t>NYC: income approach, not sale-triggered</t>
        </is>
      </c>
    </row>
    <row r="40">
      <c r="A40" s="1" t="n"/>
      <c r="B40" s="90" t="inlineStr">
        <is>
          <t>NC</t>
        </is>
      </c>
      <c r="C40" s="91" t="n">
        <v>0.008200000000000001</v>
      </c>
      <c r="D40" s="92" t="inlineStr">
        <is>
          <t>No</t>
        </is>
      </c>
      <c r="E40" s="93" t="n">
        <v>1</v>
      </c>
      <c r="F40" s="87" t="n"/>
      <c r="G40" s="94" t="inlineStr">
        <is>
          <t>County revaluation 4-8 yr cycles</t>
        </is>
      </c>
    </row>
    <row r="41">
      <c r="A41" s="1" t="n"/>
      <c r="B41" s="17" t="inlineStr">
        <is>
          <t>ND</t>
        </is>
      </c>
      <c r="C41" s="41" t="n">
        <v>0.0102</v>
      </c>
      <c r="D41" s="88" t="inlineStr">
        <is>
          <t>Yes</t>
        </is>
      </c>
      <c r="E41" s="89" t="n">
        <v>1</v>
      </c>
      <c r="F41" s="1" t="n"/>
      <c r="G41" s="3" t="inlineStr"/>
    </row>
    <row r="42">
      <c r="A42" s="1" t="n"/>
      <c r="B42" s="90" t="inlineStr">
        <is>
          <t>OH</t>
        </is>
      </c>
      <c r="C42" s="91" t="n">
        <v>0.0159</v>
      </c>
      <c r="D42" s="92" t="inlineStr">
        <is>
          <t>Yes</t>
        </is>
      </c>
      <c r="E42" s="93" t="n">
        <v>1</v>
      </c>
      <c r="F42" s="87" t="n"/>
      <c r="G42" s="94" t="inlineStr">
        <is>
          <t>Sale price often adopted on appeal</t>
        </is>
      </c>
    </row>
    <row r="43">
      <c r="A43" s="1" t="n"/>
      <c r="B43" s="17" t="inlineStr">
        <is>
          <t>OK</t>
        </is>
      </c>
      <c r="C43" s="41" t="n">
        <v>0.0089</v>
      </c>
      <c r="D43" s="88" t="inlineStr">
        <is>
          <t>Yes</t>
        </is>
      </c>
      <c r="E43" s="89" t="n">
        <v>1</v>
      </c>
      <c r="F43" s="89" t="n">
        <v>0.05</v>
      </c>
      <c r="G43" s="3" t="inlineStr"/>
    </row>
    <row r="44">
      <c r="A44" s="1" t="n"/>
      <c r="B44" s="90" t="inlineStr">
        <is>
          <t>OR</t>
        </is>
      </c>
      <c r="C44" s="91" t="n">
        <v>0.009299999999999999</v>
      </c>
      <c r="D44" s="92" t="inlineStr">
        <is>
          <t>No</t>
        </is>
      </c>
      <c r="E44" s="93" t="n">
        <v>1</v>
      </c>
      <c r="F44" s="93" t="n">
        <v>0.03</v>
      </c>
      <c r="G44" s="94" t="inlineStr">
        <is>
          <t>Measure 50: MAV grows 3%, not sale-reset</t>
        </is>
      </c>
    </row>
    <row r="45">
      <c r="A45" s="1" t="n"/>
      <c r="B45" s="17" t="inlineStr">
        <is>
          <t>PA</t>
        </is>
      </c>
      <c r="C45" s="41" t="n">
        <v>0.0149</v>
      </c>
      <c r="D45" s="88" t="inlineStr">
        <is>
          <t>No</t>
        </is>
      </c>
      <c r="E45" s="89" t="n">
        <v>1</v>
      </c>
      <c r="F45" s="1" t="n"/>
      <c r="G45" s="3" t="inlineStr">
        <is>
          <t>County base-year systems</t>
        </is>
      </c>
    </row>
    <row r="46">
      <c r="A46" s="1" t="n"/>
      <c r="B46" s="90" t="inlineStr">
        <is>
          <t>RI</t>
        </is>
      </c>
      <c r="C46" s="91" t="n">
        <v>0.014</v>
      </c>
      <c r="D46" s="92" t="inlineStr">
        <is>
          <t>Yes</t>
        </is>
      </c>
      <c r="E46" s="93" t="n">
        <v>1</v>
      </c>
      <c r="F46" s="87" t="n"/>
      <c r="G46" s="94" t="inlineStr"/>
    </row>
    <row r="47">
      <c r="A47" s="1" t="n"/>
      <c r="B47" s="17" t="inlineStr">
        <is>
          <t>SC</t>
        </is>
      </c>
      <c r="C47" s="41" t="n">
        <v>0.015</v>
      </c>
      <c r="D47" s="88" t="inlineStr">
        <is>
          <t>Yes</t>
        </is>
      </c>
      <c r="E47" s="89" t="n">
        <v>1</v>
      </c>
      <c r="F47" s="1" t="n"/>
      <c r="G47" s="3" t="inlineStr">
        <is>
          <t>ATI point-of-sale reassessment; 6% ratio</t>
        </is>
      </c>
    </row>
    <row r="48">
      <c r="A48" s="1" t="n"/>
      <c r="B48" s="90" t="inlineStr">
        <is>
          <t>SD</t>
        </is>
      </c>
      <c r="C48" s="91" t="n">
        <v>0.0117</v>
      </c>
      <c r="D48" s="92" t="inlineStr">
        <is>
          <t>Yes</t>
        </is>
      </c>
      <c r="E48" s="93" t="n">
        <v>1</v>
      </c>
      <c r="F48" s="87" t="n"/>
      <c r="G48" s="94" t="inlineStr"/>
    </row>
    <row r="49">
      <c r="A49" s="1" t="n"/>
      <c r="B49" s="17" t="inlineStr">
        <is>
          <t>TN</t>
        </is>
      </c>
      <c r="C49" s="41" t="n">
        <v>0.0067</v>
      </c>
      <c r="D49" s="88" t="inlineStr">
        <is>
          <t>No</t>
        </is>
      </c>
      <c r="E49" s="89" t="n">
        <v>1</v>
      </c>
      <c r="F49" s="1" t="n"/>
      <c r="G49" s="3" t="inlineStr">
        <is>
          <t>County cycles 4-6 yrs</t>
        </is>
      </c>
    </row>
    <row r="50">
      <c r="A50" s="1" t="n"/>
      <c r="B50" s="90" t="inlineStr">
        <is>
          <t>TX</t>
        </is>
      </c>
      <c r="C50" s="91" t="n">
        <v>0.0174</v>
      </c>
      <c r="D50" s="92" t="inlineStr">
        <is>
          <t>Yes</t>
        </is>
      </c>
      <c r="E50" s="93" t="n">
        <v>1</v>
      </c>
      <c r="F50" s="87" t="n"/>
      <c r="G50" s="94" t="inlineStr">
        <is>
          <t>Appraised at market annually; protests common</t>
        </is>
      </c>
    </row>
    <row r="51">
      <c r="A51" s="1" t="n"/>
      <c r="B51" s="17" t="inlineStr">
        <is>
          <t>UT</t>
        </is>
      </c>
      <c r="C51" s="41" t="n">
        <v>0.0057</v>
      </c>
      <c r="D51" s="88" t="inlineStr">
        <is>
          <t>Yes</t>
        </is>
      </c>
      <c r="E51" s="89" t="n">
        <v>1</v>
      </c>
      <c r="F51" s="1" t="n"/>
      <c r="G51" s="3" t="inlineStr"/>
    </row>
    <row r="52">
      <c r="A52" s="1" t="n"/>
      <c r="B52" s="90" t="inlineStr">
        <is>
          <t>VT</t>
        </is>
      </c>
      <c r="C52" s="91" t="n">
        <v>0.019</v>
      </c>
      <c r="D52" s="92" t="inlineStr">
        <is>
          <t>Yes</t>
        </is>
      </c>
      <c r="E52" s="93" t="n">
        <v>1</v>
      </c>
      <c r="F52" s="87" t="n"/>
      <c r="G52" s="94" t="inlineStr"/>
    </row>
    <row r="53">
      <c r="A53" s="1" t="n"/>
      <c r="B53" s="17" t="inlineStr">
        <is>
          <t>VA</t>
        </is>
      </c>
      <c r="C53" s="41" t="n">
        <v>0.008699999999999999</v>
      </c>
      <c r="D53" s="88" t="inlineStr">
        <is>
          <t>Yes</t>
        </is>
      </c>
      <c r="E53" s="89" t="n">
        <v>1</v>
      </c>
      <c r="F53" s="1" t="n"/>
      <c r="G53" s="3" t="inlineStr"/>
    </row>
    <row r="54">
      <c r="A54" s="1" t="n"/>
      <c r="B54" s="90" t="inlineStr">
        <is>
          <t>WA</t>
        </is>
      </c>
      <c r="C54" s="91" t="n">
        <v>0.0092</v>
      </c>
      <c r="D54" s="92" t="inlineStr">
        <is>
          <t>Yes</t>
        </is>
      </c>
      <c r="E54" s="93" t="n">
        <v>1</v>
      </c>
      <c r="F54" s="87" t="n"/>
      <c r="G54" s="94" t="inlineStr">
        <is>
          <t>Assessed at market annually</t>
        </is>
      </c>
    </row>
    <row r="55">
      <c r="A55" s="1" t="n"/>
      <c r="B55" s="17" t="inlineStr">
        <is>
          <t>WV</t>
        </is>
      </c>
      <c r="C55" s="41" t="n">
        <v>0.0059</v>
      </c>
      <c r="D55" s="88" t="inlineStr">
        <is>
          <t>Yes</t>
        </is>
      </c>
      <c r="E55" s="89" t="n">
        <v>1</v>
      </c>
      <c r="F55" s="1" t="n"/>
      <c r="G55" s="3" t="inlineStr"/>
    </row>
    <row r="56">
      <c r="A56" s="1" t="n"/>
      <c r="B56" s="90" t="inlineStr">
        <is>
          <t>WI</t>
        </is>
      </c>
      <c r="C56" s="91" t="n">
        <v>0.0161</v>
      </c>
      <c r="D56" s="92" t="inlineStr">
        <is>
          <t>Yes</t>
        </is>
      </c>
      <c r="E56" s="93" t="n">
        <v>1</v>
      </c>
      <c r="F56" s="87" t="n"/>
      <c r="G56" s="94" t="inlineStr"/>
    </row>
    <row r="57">
      <c r="A57" s="1" t="n"/>
      <c r="B57" s="17" t="inlineStr">
        <is>
          <t>WY</t>
        </is>
      </c>
      <c r="C57" s="41" t="n">
        <v>0.0061</v>
      </c>
      <c r="D57" s="88" t="inlineStr">
        <is>
          <t>Yes</t>
        </is>
      </c>
      <c r="E57" s="89" t="n">
        <v>1</v>
      </c>
      <c r="F57" s="1" t="n"/>
      <c r="G57" s="3" t="inlineStr"/>
    </row>
    <row r="58">
      <c r="A58" s="1" t="n"/>
      <c r="B58" s="1" t="n"/>
      <c r="C58" s="1" t="n"/>
      <c r="D58" s="1" t="n"/>
      <c r="E58" s="1" t="n"/>
      <c r="F58" s="1" t="n"/>
      <c r="G58" s="1" t="n"/>
    </row>
    <row r="59">
      <c r="A59" s="1" t="n"/>
      <c r="B59" s="3" t="inlineStr">
        <is>
          <t>Rates are state averages (seeds). County/city millage varies — set the effective-rate override on Assumptions for precision.</t>
        </is>
      </c>
      <c r="C59" s="1" t="n"/>
      <c r="D59" s="1" t="n"/>
      <c r="E59" s="1" t="n"/>
      <c r="F59" s="1" t="n"/>
      <c r="G59" s="1" t="n"/>
    </row>
  </sheetData>
  <sheetProtection selectLockedCells="1" selectUnlockedCells="0" algorithmName="SHA-512" sheet="1" objects="1" insertRows="1" insertHyperlinks="1" autoFilter="1" scenarios="1" formatColumns="0" deleteColumns="1" insertColumns="1" pivotTables="1" deleteRows="1" formatCells="0" saltValue="kR2Lz1QJEyJLiHJBsVqNvQ==" formatRows="0" sort="1" spinCount="100000" hashValue="Npj19r5N85qwBCk4c3p/jsOKtxM6e1g92r/EaiYi0mQDXZkMNPqE1mHXM8k0HpofVJF1JugduiuQXHm1M5sHLA=="/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tabColor rgb="0026251E"/>
    <outlinePr summaryBelow="1" summaryRight="1"/>
    <pageSetUpPr/>
  </sheetPr>
  <dimension ref="A1:H84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 outlineLevelCol="0"/>
  <cols>
    <col width="34" customWidth="1" min="1" max="1"/>
    <col width="14" customWidth="1" min="2" max="2"/>
    <col width="16" customWidth="1" min="3" max="3"/>
    <col width="18" customWidth="1" min="6" max="6"/>
    <col width="50" customWidth="1" min="7" max="7"/>
    <col width="90" customWidth="1" min="8" max="8"/>
  </cols>
  <sheetData>
    <row r="1">
      <c r="A1" s="95" t="inlineStr">
        <is>
          <t>BRIDGE — app contract + formula review. One row per named range. Do not edit.</t>
        </is>
      </c>
    </row>
    <row r="2">
      <c r="A2" s="96" t="inlineStr">
        <is>
          <t>name</t>
        </is>
      </c>
      <c r="B2" s="96" t="inlineStr">
        <is>
          <t>sheet</t>
        </is>
      </c>
      <c r="C2" s="96" t="inlineStr">
        <is>
          <t>ref</t>
        </is>
      </c>
      <c r="D2" s="96" t="inlineStr">
        <is>
          <t>kind</t>
        </is>
      </c>
      <c r="E2" s="96" t="inlineStr">
        <is>
          <t>dtype</t>
        </is>
      </c>
      <c r="F2" s="96" t="inlineStr">
        <is>
          <t>value</t>
        </is>
      </c>
      <c r="G2" s="96" t="inlineStr">
        <is>
          <t>description</t>
        </is>
      </c>
      <c r="H2" s="96" t="inlineStr">
        <is>
          <t>formula</t>
        </is>
      </c>
    </row>
    <row r="3">
      <c r="A3" s="97" t="inlineStr">
        <is>
          <t>arr_a_capex</t>
        </is>
      </c>
      <c r="B3" t="inlineStr">
        <is>
          <t>CashFlow</t>
        </is>
      </c>
      <c r="C3" t="inlineStr">
        <is>
          <t>$F$27:$T$27</t>
        </is>
      </c>
      <c r="D3" t="inlineStr">
        <is>
          <t>array_out</t>
        </is>
      </c>
      <c r="E3" t="inlineStr">
        <is>
          <t>currency</t>
        </is>
      </c>
      <c r="G3" t="inlineStr">
        <is>
          <t>annual capex (negative)</t>
        </is>
      </c>
    </row>
    <row r="4">
      <c r="A4" s="97" t="inlineStr">
        <is>
          <t>arr_a_coc</t>
        </is>
      </c>
      <c r="B4" t="inlineStr">
        <is>
          <t>CashFlow</t>
        </is>
      </c>
      <c r="C4" t="inlineStr">
        <is>
          <t>$F$44:$T$44</t>
        </is>
      </c>
      <c r="D4" t="inlineStr">
        <is>
          <t>array_out</t>
        </is>
      </c>
      <c r="E4" t="inlineStr">
        <is>
          <t>pct</t>
        </is>
      </c>
      <c r="G4" t="inlineStr">
        <is>
          <t>annual cash-on-cash</t>
        </is>
      </c>
    </row>
    <row r="5">
      <c r="A5" s="97" t="inlineStr">
        <is>
          <t>arr_a_debt_balance</t>
        </is>
      </c>
      <c r="B5" t="inlineStr">
        <is>
          <t>CashFlow</t>
        </is>
      </c>
      <c r="C5" t="inlineStr">
        <is>
          <t>$F$38:$T$38</t>
        </is>
      </c>
      <c r="D5" t="inlineStr">
        <is>
          <t>array_out</t>
        </is>
      </c>
      <c r="E5" t="inlineStr">
        <is>
          <t>currency</t>
        </is>
      </c>
      <c r="G5" t="inlineStr">
        <is>
          <t>debt balance EOY</t>
        </is>
      </c>
    </row>
    <row r="6">
      <c r="A6" s="97" t="inlineStr">
        <is>
          <t>arr_a_debt_yield</t>
        </is>
      </c>
      <c r="B6" t="inlineStr">
        <is>
          <t>CashFlow</t>
        </is>
      </c>
      <c r="C6" t="inlineStr">
        <is>
          <t>$F$46:$T$46</t>
        </is>
      </c>
      <c r="D6" t="inlineStr">
        <is>
          <t>array_out</t>
        </is>
      </c>
      <c r="E6" t="inlineStr">
        <is>
          <t>pct</t>
        </is>
      </c>
      <c r="G6" t="inlineStr">
        <is>
          <t>annual debt yield</t>
        </is>
      </c>
    </row>
    <row r="7">
      <c r="A7" s="97" t="inlineStr">
        <is>
          <t>arr_a_downtime</t>
        </is>
      </c>
      <c r="B7" t="inlineStr">
        <is>
          <t>CashFlow</t>
        </is>
      </c>
      <c r="C7" t="inlineStr">
        <is>
          <t>$F$17:$T$17</t>
        </is>
      </c>
      <c r="D7" t="inlineStr">
        <is>
          <t>array_out</t>
        </is>
      </c>
      <c r="E7" t="inlineStr">
        <is>
          <t>currency</t>
        </is>
      </c>
      <c r="G7" t="inlineStr">
        <is>
          <t>annual renovation downtime loss (negative)</t>
        </is>
      </c>
    </row>
    <row r="8">
      <c r="A8" s="97" t="inlineStr">
        <is>
          <t>arr_a_ds</t>
        </is>
      </c>
      <c r="B8" t="inlineStr">
        <is>
          <t>CashFlow</t>
        </is>
      </c>
      <c r="C8" t="inlineStr">
        <is>
          <t>$F$35:$T$35</t>
        </is>
      </c>
      <c r="D8" t="inlineStr">
        <is>
          <t>array_out</t>
        </is>
      </c>
      <c r="E8" t="inlineStr">
        <is>
          <t>currency</t>
        </is>
      </c>
      <c r="G8" t="inlineStr">
        <is>
          <t>annual debt service (negative)</t>
        </is>
      </c>
    </row>
    <row r="9">
      <c r="A9" s="97" t="inlineStr">
        <is>
          <t>arr_a_dscr</t>
        </is>
      </c>
      <c r="B9" t="inlineStr">
        <is>
          <t>CashFlow</t>
        </is>
      </c>
      <c r="C9" t="inlineStr">
        <is>
          <t>$F$45:$T$45</t>
        </is>
      </c>
      <c r="D9" t="inlineStr">
        <is>
          <t>array_out</t>
        </is>
      </c>
      <c r="E9" t="inlineStr">
        <is>
          <t>currency</t>
        </is>
      </c>
      <c r="G9" t="inlineStr">
        <is>
          <t>annual DSCR (sizing NOI / debt service)</t>
        </is>
      </c>
    </row>
    <row r="10">
      <c r="A10" s="97" t="inlineStr">
        <is>
          <t>arr_a_egr</t>
        </is>
      </c>
      <c r="B10" t="inlineStr">
        <is>
          <t>CashFlow</t>
        </is>
      </c>
      <c r="C10" t="inlineStr">
        <is>
          <t>$F$16:$T$16</t>
        </is>
      </c>
      <c r="D10" t="inlineStr">
        <is>
          <t>array_out</t>
        </is>
      </c>
      <c r="E10" t="inlineStr">
        <is>
          <t>currency</t>
        </is>
      </c>
      <c r="G10" t="inlineStr">
        <is>
          <t>annual effective gross revenue</t>
        </is>
      </c>
    </row>
    <row r="11">
      <c r="A11" s="97" t="inlineStr">
        <is>
          <t>arr_a_exp</t>
        </is>
      </c>
      <c r="B11" t="inlineStr">
        <is>
          <t>CashFlow</t>
        </is>
      </c>
      <c r="C11" t="inlineStr">
        <is>
          <t>$F$21:$T$21</t>
        </is>
      </c>
      <c r="D11" t="inlineStr">
        <is>
          <t>array_out</t>
        </is>
      </c>
      <c r="E11" t="inlineStr">
        <is>
          <t>currency</t>
        </is>
      </c>
      <c r="G11" t="inlineStr">
        <is>
          <t>annual total operating expenses (negative)</t>
        </is>
      </c>
    </row>
    <row r="12">
      <c r="A12" s="97" t="inlineStr">
        <is>
          <t>arr_a_gpr_prem</t>
        </is>
      </c>
      <c r="B12" t="inlineStr">
        <is>
          <t>CashFlow</t>
        </is>
      </c>
      <c r="C12" t="inlineStr">
        <is>
          <t>$F$18:$T$18</t>
        </is>
      </c>
      <c r="D12" t="inlineStr">
        <is>
          <t>array_out</t>
        </is>
      </c>
      <c r="E12" t="inlineStr">
        <is>
          <t>currency</t>
        </is>
      </c>
      <c r="G12" t="inlineStr">
        <is>
          <t>annual renovation premium</t>
        </is>
      </c>
    </row>
    <row r="13">
      <c r="A13" s="97" t="inlineStr">
        <is>
          <t>arr_a_lev_cf</t>
        </is>
      </c>
      <c r="B13" t="inlineStr">
        <is>
          <t>CashFlow</t>
        </is>
      </c>
      <c r="C13" t="inlineStr">
        <is>
          <t>$F$40:$T$40</t>
        </is>
      </c>
      <c r="D13" t="inlineStr">
        <is>
          <t>array_out</t>
        </is>
      </c>
      <c r="E13" t="inlineStr">
        <is>
          <t>currency</t>
        </is>
      </c>
      <c r="G13" t="inlineStr">
        <is>
          <t>annual levered cash flow (years 1-15)</t>
        </is>
      </c>
    </row>
    <row r="14">
      <c r="A14" s="97" t="inlineStr">
        <is>
          <t>arr_a_lev_op_cf</t>
        </is>
      </c>
      <c r="B14" t="inlineStr">
        <is>
          <t>CashFlow</t>
        </is>
      </c>
      <c r="C14" t="inlineStr">
        <is>
          <t>$F$60:$T$60</t>
        </is>
      </c>
      <c r="D14" t="inlineStr">
        <is>
          <t>array_out</t>
        </is>
      </c>
      <c r="E14" t="inlineStr">
        <is>
          <t>currency</t>
        </is>
      </c>
      <c r="G14" t="inlineStr">
        <is>
          <t>levered operating cash flow (excl. capex/exit), years 1-15</t>
        </is>
      </c>
    </row>
    <row r="15">
      <c r="A15" s="97" t="inlineStr">
        <is>
          <t>arr_a_noi</t>
        </is>
      </c>
      <c r="B15" t="inlineStr">
        <is>
          <t>CashFlow</t>
        </is>
      </c>
      <c r="C15" t="inlineStr">
        <is>
          <t>$F$23:$T$23</t>
        </is>
      </c>
      <c r="D15" t="inlineStr">
        <is>
          <t>array_out</t>
        </is>
      </c>
      <c r="E15" t="inlineStr">
        <is>
          <t>currency</t>
        </is>
      </c>
      <c r="G15" t="inlineStr">
        <is>
          <t>annual NOI</t>
        </is>
      </c>
    </row>
    <row r="16">
      <c r="A16" s="97" t="inlineStr">
        <is>
          <t>arr_a_noi_ar</t>
        </is>
      </c>
      <c r="B16" t="inlineStr">
        <is>
          <t>CashFlow</t>
        </is>
      </c>
      <c r="C16" t="inlineStr">
        <is>
          <t>$F$26:$T$26</t>
        </is>
      </c>
      <c r="D16" t="inlineStr">
        <is>
          <t>array_out</t>
        </is>
      </c>
      <c r="E16" t="inlineStr">
        <is>
          <t>currency</t>
        </is>
      </c>
      <c r="G16" t="inlineStr">
        <is>
          <t>annual NOI after reserves</t>
        </is>
      </c>
    </row>
    <row r="17">
      <c r="A17" s="97" t="inlineStr">
        <is>
          <t>arr_a_noi_sizing</t>
        </is>
      </c>
      <c r="B17" t="inlineStr">
        <is>
          <t>CashFlow</t>
        </is>
      </c>
      <c r="C17" t="inlineStr">
        <is>
          <t>$F$24:$T$24</t>
        </is>
      </c>
      <c r="D17" t="inlineStr">
        <is>
          <t>array_out</t>
        </is>
      </c>
      <c r="E17" t="inlineStr">
        <is>
          <t>currency</t>
        </is>
      </c>
      <c r="G17" t="inlineStr">
        <is>
          <t>annual NOI for debt sizing (excl. renovation)</t>
        </is>
      </c>
    </row>
    <row r="18">
      <c r="A18" s="97" t="inlineStr">
        <is>
          <t>arr_a_payoffs</t>
        </is>
      </c>
      <c r="B18" t="inlineStr">
        <is>
          <t>CashFlow</t>
        </is>
      </c>
      <c r="C18" t="inlineStr">
        <is>
          <t>$F$36:$T$36</t>
        </is>
      </c>
      <c r="D18" t="inlineStr">
        <is>
          <t>array_out</t>
        </is>
      </c>
      <c r="E18" t="inlineStr">
        <is>
          <t>currency</t>
        </is>
      </c>
      <c r="G18" t="inlineStr">
        <is>
          <t>annual loan payoffs (negative)</t>
        </is>
      </c>
    </row>
    <row r="19">
      <c r="A19" s="97" t="inlineStr">
        <is>
          <t>arr_a_unlev_cf</t>
        </is>
      </c>
      <c r="B19" t="inlineStr">
        <is>
          <t>CashFlow</t>
        </is>
      </c>
      <c r="C19" t="inlineStr">
        <is>
          <t>$F$31:$T$31</t>
        </is>
      </c>
      <c r="D19" t="inlineStr">
        <is>
          <t>array_out</t>
        </is>
      </c>
      <c r="E19" t="inlineStr">
        <is>
          <t>currency</t>
        </is>
      </c>
      <c r="G19" t="inlineStr">
        <is>
          <t>annual unlevered cash flow (years 1-15)</t>
        </is>
      </c>
    </row>
    <row r="20">
      <c r="A20" s="97" t="inlineStr">
        <is>
          <t>arr_a_value</t>
        </is>
      </c>
      <c r="B20" t="inlineStr">
        <is>
          <t>CashFlow</t>
        </is>
      </c>
      <c r="C20" t="inlineStr">
        <is>
          <t>$F$47:$T$47</t>
        </is>
      </c>
      <c r="D20" t="inlineStr">
        <is>
          <t>array_out</t>
        </is>
      </c>
      <c r="E20" t="inlineStr">
        <is>
          <t>currency</t>
        </is>
      </c>
      <c r="G20" t="inlineStr">
        <is>
          <t>implied value (fwd NOI / exit cap)</t>
        </is>
      </c>
    </row>
    <row r="21">
      <c r="A21" s="97" t="inlineStr">
        <is>
          <t>arr_tax_annual</t>
        </is>
      </c>
      <c r="B21" t="inlineStr">
        <is>
          <t>Summary &amp; Assumptions</t>
        </is>
      </c>
      <c r="C21" t="inlineStr">
        <is>
          <t>$D$56:$R$56</t>
        </is>
      </c>
      <c r="D21" t="inlineStr">
        <is>
          <t>array_out</t>
        </is>
      </c>
      <c r="E21" t="inlineStr">
        <is>
          <t>currency</t>
        </is>
      </c>
      <c r="G21" t="inlineStr">
        <is>
          <t>annual property tax, years 1-15 (the engine reads this)</t>
        </is>
      </c>
    </row>
    <row r="22">
      <c r="A22" s="98" t="inlineStr">
        <is>
          <t>arr_tax_growth</t>
        </is>
      </c>
      <c r="B22" t="inlineStr">
        <is>
          <t>Summary &amp; Assumptions</t>
        </is>
      </c>
      <c r="C22" t="inlineStr">
        <is>
          <t>$E$55:$R$55</t>
        </is>
      </c>
      <c r="D22" t="inlineStr">
        <is>
          <t>array_in</t>
        </is>
      </c>
      <c r="E22" t="inlineStr">
        <is>
          <t>pct</t>
        </is>
      </c>
      <c r="G22" t="inlineStr">
        <is>
          <t>annual property-tax growth, years 2-15</t>
        </is>
      </c>
    </row>
    <row r="23">
      <c r="A23" s="98" t="inlineStr">
        <is>
          <t>in_acq_add1</t>
        </is>
      </c>
      <c r="B23" t="inlineStr">
        <is>
          <t>Summary &amp; Assumptions</t>
        </is>
      </c>
      <c r="C23" t="inlineStr">
        <is>
          <t>$H$11</t>
        </is>
      </c>
      <c r="D23" t="inlineStr">
        <is>
          <t>input</t>
        </is>
      </c>
      <c r="E23" t="inlineStr">
        <is>
          <t>currency</t>
        </is>
      </c>
      <c r="F23">
        <f>in_acq_add1</f>
        <v/>
      </c>
      <c r="G23" t="inlineStr">
        <is>
          <t>Additional #1</t>
        </is>
      </c>
    </row>
    <row r="24">
      <c r="A24" s="98" t="inlineStr">
        <is>
          <t>in_acq_add2</t>
        </is>
      </c>
      <c r="B24" t="inlineStr">
        <is>
          <t>Summary &amp; Assumptions</t>
        </is>
      </c>
      <c r="C24" t="inlineStr">
        <is>
          <t>$T$9</t>
        </is>
      </c>
      <c r="D24" t="inlineStr">
        <is>
          <t>input</t>
        </is>
      </c>
      <c r="E24" t="inlineStr">
        <is>
          <t>currency</t>
        </is>
      </c>
      <c r="F24">
        <f>in_acq_add2</f>
        <v/>
      </c>
      <c r="G24" t="inlineStr">
        <is>
          <t>Additional #2 (advanced)</t>
        </is>
      </c>
    </row>
    <row r="25">
      <c r="A25" s="98" t="inlineStr">
        <is>
          <t>in_acq_add3</t>
        </is>
      </c>
      <c r="B25" t="inlineStr">
        <is>
          <t>Summary &amp; Assumptions</t>
        </is>
      </c>
      <c r="C25" t="inlineStr">
        <is>
          <t>$T$10</t>
        </is>
      </c>
      <c r="D25" t="inlineStr">
        <is>
          <t>input</t>
        </is>
      </c>
      <c r="E25" t="inlineStr">
        <is>
          <t>currency</t>
        </is>
      </c>
      <c r="F25">
        <f>in_acq_add3</f>
        <v/>
      </c>
      <c r="G25" t="inlineStr">
        <is>
          <t>Additional #3 (advanced)</t>
        </is>
      </c>
    </row>
    <row r="26">
      <c r="A26" s="98" t="inlineStr">
        <is>
          <t>in_acq_dd</t>
        </is>
      </c>
      <c r="B26" t="inlineStr">
        <is>
          <t>Summary &amp; Assumptions</t>
        </is>
      </c>
      <c r="C26" t="inlineStr">
        <is>
          <t>$H$10</t>
        </is>
      </c>
      <c r="D26" t="inlineStr">
        <is>
          <t>input</t>
        </is>
      </c>
      <c r="E26" t="inlineStr">
        <is>
          <t>currency</t>
        </is>
      </c>
      <c r="F26">
        <f>in_acq_dd</f>
        <v/>
      </c>
      <c r="G26" t="inlineStr">
        <is>
          <t>Due Diligence Costs</t>
        </is>
      </c>
    </row>
    <row r="27">
      <c r="A27" s="98" t="inlineStr">
        <is>
          <t>in_acq_legal</t>
        </is>
      </c>
      <c r="B27" t="inlineStr">
        <is>
          <t>Summary &amp; Assumptions</t>
        </is>
      </c>
      <c r="C27" t="inlineStr">
        <is>
          <t>$H$9</t>
        </is>
      </c>
      <c r="D27" t="inlineStr">
        <is>
          <t>input</t>
        </is>
      </c>
      <c r="E27" t="inlineStr">
        <is>
          <t>currency</t>
        </is>
      </c>
      <c r="F27">
        <f>in_acq_legal</f>
        <v/>
      </c>
      <c r="G27" t="inlineStr">
        <is>
          <t>Legal Fees</t>
        </is>
      </c>
    </row>
    <row r="28">
      <c r="A28" s="98" t="inlineStr">
        <is>
          <t>in_acq_op_reserve_pct</t>
        </is>
      </c>
      <c r="B28" t="inlineStr">
        <is>
          <t>Summary &amp; Assumptions</t>
        </is>
      </c>
      <c r="C28" t="inlineStr">
        <is>
          <t>$H$8</t>
        </is>
      </c>
      <c r="D28" t="inlineStr">
        <is>
          <t>input</t>
        </is>
      </c>
      <c r="E28" t="inlineStr">
        <is>
          <t>pct</t>
        </is>
      </c>
      <c r="F28">
        <f>in_acq_op_reserve_pct</f>
        <v/>
      </c>
      <c r="G28" t="inlineStr">
        <is>
          <t>Operating Reserve (% of price)</t>
        </is>
      </c>
    </row>
    <row r="29">
      <c r="A29" s="98" t="inlineStr">
        <is>
          <t>in_deal_address</t>
        </is>
      </c>
      <c r="B29" t="inlineStr">
        <is>
          <t>Summary &amp; Assumptions</t>
        </is>
      </c>
      <c r="C29" t="inlineStr">
        <is>
          <t>$C$7</t>
        </is>
      </c>
      <c r="D29" t="inlineStr">
        <is>
          <t>input</t>
        </is>
      </c>
      <c r="E29" t="inlineStr">
        <is>
          <t>text</t>
        </is>
      </c>
      <c r="F29">
        <f>in_deal_address</f>
        <v/>
      </c>
      <c r="G29" t="inlineStr">
        <is>
          <t>Address</t>
        </is>
      </c>
    </row>
    <row r="30">
      <c r="A30" s="98" t="inlineStr">
        <is>
          <t>in_deal_city</t>
        </is>
      </c>
      <c r="B30" t="inlineStr">
        <is>
          <t>Summary &amp; Assumptions</t>
        </is>
      </c>
      <c r="C30" t="inlineStr">
        <is>
          <t>$C$8</t>
        </is>
      </c>
      <c r="D30" t="inlineStr">
        <is>
          <t>input</t>
        </is>
      </c>
      <c r="E30" t="inlineStr">
        <is>
          <t>text</t>
        </is>
      </c>
      <c r="F30">
        <f>in_deal_city</f>
        <v/>
      </c>
      <c r="G30" t="inlineStr">
        <is>
          <t>City</t>
        </is>
      </c>
    </row>
    <row r="31">
      <c r="A31" s="98" t="inlineStr">
        <is>
          <t>in_deal_floors</t>
        </is>
      </c>
      <c r="B31" t="inlineStr">
        <is>
          <t>Summary &amp; Assumptions</t>
        </is>
      </c>
      <c r="C31" t="inlineStr">
        <is>
          <t>$C$14</t>
        </is>
      </c>
      <c r="D31" t="inlineStr">
        <is>
          <t>input</t>
        </is>
      </c>
      <c r="E31" t="inlineStr">
        <is>
          <t>int</t>
        </is>
      </c>
      <c r="F31">
        <f>in_deal_floors</f>
        <v/>
      </c>
      <c r="G31" t="inlineStr">
        <is>
          <t>Floors</t>
        </is>
      </c>
    </row>
    <row r="32">
      <c r="A32" s="98" t="inlineStr">
        <is>
          <t>in_deal_hold_years</t>
        </is>
      </c>
      <c r="B32" t="inlineStr">
        <is>
          <t>Summary &amp; Assumptions</t>
        </is>
      </c>
      <c r="C32" t="inlineStr">
        <is>
          <t>$C$23</t>
        </is>
      </c>
      <c r="D32" t="inlineStr">
        <is>
          <t>input</t>
        </is>
      </c>
      <c r="E32" t="inlineStr">
        <is>
          <t>int</t>
        </is>
      </c>
      <c r="F32">
        <f>in_deal_hold_years</f>
        <v/>
      </c>
      <c r="G32" t="inlineStr">
        <is>
          <t>Hold Period (years)</t>
        </is>
      </c>
    </row>
    <row r="33">
      <c r="A33" s="98" t="inlineStr">
        <is>
          <t>in_deal_months_to_close</t>
        </is>
      </c>
      <c r="B33" t="inlineStr">
        <is>
          <t>Summary &amp; Assumptions</t>
        </is>
      </c>
      <c r="C33" t="inlineStr">
        <is>
          <t>$C$21</t>
        </is>
      </c>
      <c r="D33" t="inlineStr">
        <is>
          <t>input</t>
        </is>
      </c>
      <c r="E33" t="inlineStr">
        <is>
          <t>int</t>
        </is>
      </c>
      <c r="F33">
        <f>in_deal_months_to_close</f>
        <v/>
      </c>
      <c r="G33" t="inlineStr">
        <is>
          <t>Months Until Close</t>
        </is>
      </c>
    </row>
    <row r="34">
      <c r="A34" s="98" t="inlineStr">
        <is>
          <t>in_deal_name</t>
        </is>
      </c>
      <c r="B34" t="inlineStr">
        <is>
          <t>Summary &amp; Assumptions</t>
        </is>
      </c>
      <c r="C34" t="inlineStr">
        <is>
          <t>$C$6</t>
        </is>
      </c>
      <c r="D34" t="inlineStr">
        <is>
          <t>input</t>
        </is>
      </c>
      <c r="E34" t="inlineStr">
        <is>
          <t>text</t>
        </is>
      </c>
      <c r="F34">
        <f>in_deal_name</f>
        <v/>
      </c>
      <c r="G34" t="inlineStr">
        <is>
          <t>Name</t>
        </is>
      </c>
    </row>
    <row r="35">
      <c r="A35" s="98" t="inlineStr">
        <is>
          <t>in_deal_occupied_units</t>
        </is>
      </c>
      <c r="B35" t="inlineStr">
        <is>
          <t>Summary &amp; Assumptions</t>
        </is>
      </c>
      <c r="C35" t="inlineStr">
        <is>
          <t>$C$15</t>
        </is>
      </c>
      <c r="D35" t="inlineStr">
        <is>
          <t>input</t>
        </is>
      </c>
      <c r="E35" t="inlineStr">
        <is>
          <t>int</t>
        </is>
      </c>
      <c r="F35">
        <f>in_deal_occupied_units</f>
        <v/>
      </c>
      <c r="G35" t="inlineStr">
        <is>
          <t>Occupied Units</t>
        </is>
      </c>
    </row>
    <row r="36">
      <c r="A36" s="98" t="inlineStr">
        <is>
          <t>in_deal_purchase_price</t>
        </is>
      </c>
      <c r="B36" t="inlineStr">
        <is>
          <t>Summary &amp; Assumptions</t>
        </is>
      </c>
      <c r="C36" t="inlineStr">
        <is>
          <t>$H$6</t>
        </is>
      </c>
      <c r="D36" t="inlineStr">
        <is>
          <t>input</t>
        </is>
      </c>
      <c r="E36" t="inlineStr">
        <is>
          <t>currency</t>
        </is>
      </c>
      <c r="F36">
        <f>in_deal_purchase_price</f>
        <v/>
      </c>
      <c r="G36" t="inlineStr">
        <is>
          <t>Purchase Price</t>
        </is>
      </c>
      <c r="H36" s="95" t="inlineStr">
        <is>
          <t>'=IFERROR('P&amp;L'!$Z$69/0.055,0)</t>
        </is>
      </c>
    </row>
    <row r="37">
      <c r="A37" s="98" t="inlineStr">
        <is>
          <t>in_deal_refi_year</t>
        </is>
      </c>
      <c r="B37" t="inlineStr">
        <is>
          <t>Summary &amp; Assumptions</t>
        </is>
      </c>
      <c r="C37" t="inlineStr">
        <is>
          <t>$E$37</t>
        </is>
      </c>
      <c r="D37" t="inlineStr">
        <is>
          <t>input</t>
        </is>
      </c>
      <c r="E37" t="inlineStr">
        <is>
          <t>int</t>
        </is>
      </c>
      <c r="F37">
        <f>in_deal_refi_year</f>
        <v/>
      </c>
      <c r="G37" t="inlineStr">
        <is>
          <t>refi year (0 = none); alias of the Refi loan's start year</t>
        </is>
      </c>
    </row>
    <row r="38">
      <c r="A38" s="98" t="inlineStr">
        <is>
          <t>in_deal_rentable_sf</t>
        </is>
      </c>
      <c r="B38" t="inlineStr">
        <is>
          <t>Summary &amp; Assumptions</t>
        </is>
      </c>
      <c r="C38" t="inlineStr">
        <is>
          <t>$C$16</t>
        </is>
      </c>
      <c r="D38" t="inlineStr">
        <is>
          <t>input</t>
        </is>
      </c>
      <c r="E38" t="inlineStr">
        <is>
          <t>int</t>
        </is>
      </c>
      <c r="F38">
        <f>in_deal_rentable_sf</f>
        <v/>
      </c>
      <c r="G38" t="inlineStr">
        <is>
          <t>Rentable SF | Price per SF</t>
        </is>
      </c>
    </row>
    <row r="39">
      <c r="A39" s="98" t="inlineStr">
        <is>
          <t>in_deal_state</t>
        </is>
      </c>
      <c r="B39" t="inlineStr">
        <is>
          <t>Summary &amp; Assumptions</t>
        </is>
      </c>
      <c r="C39" t="inlineStr">
        <is>
          <t>$C$9</t>
        </is>
      </c>
      <c r="D39" t="inlineStr">
        <is>
          <t>input</t>
        </is>
      </c>
      <c r="E39" t="inlineStr">
        <is>
          <t>enum</t>
        </is>
      </c>
      <c r="F39">
        <f>in_deal_state</f>
        <v/>
      </c>
      <c r="G39" t="inlineStr">
        <is>
          <t>two-letter state code</t>
        </is>
      </c>
    </row>
    <row r="40">
      <c r="A40" s="98" t="inlineStr">
        <is>
          <t>in_deal_units</t>
        </is>
      </c>
      <c r="B40" t="inlineStr">
        <is>
          <t>Summary &amp; Assumptions</t>
        </is>
      </c>
      <c r="C40" t="inlineStr">
        <is>
          <t>$C$11</t>
        </is>
      </c>
      <c r="D40" t="inlineStr">
        <is>
          <t>input</t>
        </is>
      </c>
      <c r="E40" t="inlineStr">
        <is>
          <t>int</t>
        </is>
      </c>
      <c r="F40">
        <f>in_deal_units</f>
        <v/>
      </c>
      <c r="G40" t="inlineStr">
        <is>
          <t>Units | Price per unit</t>
        </is>
      </c>
    </row>
    <row r="41">
      <c r="A41" s="98" t="inlineStr">
        <is>
          <t>in_deal_year_built</t>
        </is>
      </c>
      <c r="B41" t="inlineStr">
        <is>
          <t>Summary &amp; Assumptions</t>
        </is>
      </c>
      <c r="C41" t="inlineStr">
        <is>
          <t>$C$12</t>
        </is>
      </c>
      <c r="D41" t="inlineStr">
        <is>
          <t>input</t>
        </is>
      </c>
      <c r="E41" t="inlineStr">
        <is>
          <t>int</t>
        </is>
      </c>
      <c r="F41">
        <f>in_deal_year_built</f>
        <v/>
      </c>
      <c r="G41" t="inlineStr">
        <is>
          <t>Year Built</t>
        </is>
      </c>
    </row>
    <row r="42">
      <c r="A42" s="98" t="inlineStr">
        <is>
          <t>in_deal_year_renovated</t>
        </is>
      </c>
      <c r="B42" t="inlineStr">
        <is>
          <t>Summary &amp; Assumptions</t>
        </is>
      </c>
      <c r="C42" t="inlineStr">
        <is>
          <t>$C$13</t>
        </is>
      </c>
      <c r="D42" t="inlineStr">
        <is>
          <t>input</t>
        </is>
      </c>
      <c r="E42" t="inlineStr">
        <is>
          <t>int</t>
        </is>
      </c>
      <c r="F42">
        <f>in_deal_year_renovated</f>
        <v/>
      </c>
      <c r="G42" t="inlineStr">
        <is>
          <t>Year Renovated</t>
        </is>
      </c>
    </row>
    <row r="43">
      <c r="A43" s="98" t="inlineStr">
        <is>
          <t>in_deal_zip</t>
        </is>
      </c>
      <c r="B43" t="inlineStr">
        <is>
          <t>Summary &amp; Assumptions</t>
        </is>
      </c>
      <c r="C43" t="inlineStr">
        <is>
          <t>$C$10</t>
        </is>
      </c>
      <c r="D43" t="inlineStr">
        <is>
          <t>input</t>
        </is>
      </c>
      <c r="E43" t="inlineStr">
        <is>
          <t>text</t>
        </is>
      </c>
      <c r="F43">
        <f>in_deal_zip</f>
        <v/>
      </c>
      <c r="G43" t="inlineStr">
        <is>
          <t>Zip Code</t>
        </is>
      </c>
    </row>
    <row r="44">
      <c r="A44" s="98" t="inlineStr">
        <is>
          <t>in_debt_c1_amort_years</t>
        </is>
      </c>
      <c r="B44" t="inlineStr">
        <is>
          <t>Summary &amp; Assumptions</t>
        </is>
      </c>
      <c r="C44" t="inlineStr">
        <is>
          <t>$F$48</t>
        </is>
      </c>
      <c r="D44" t="inlineStr">
        <is>
          <t>input</t>
        </is>
      </c>
      <c r="E44" t="inlineStr">
        <is>
          <t>int</t>
        </is>
      </c>
      <c r="F44">
        <f>in_debt_c1_amort_years</f>
        <v/>
      </c>
      <c r="G44" t="inlineStr">
        <is>
          <t>Assumed Loan loan — Amortization (years)</t>
        </is>
      </c>
    </row>
    <row r="45">
      <c r="A45" s="98" t="inlineStr">
        <is>
          <t>in_debt_c1_amount</t>
        </is>
      </c>
      <c r="B45" t="inlineStr">
        <is>
          <t>Summary &amp; Assumptions</t>
        </is>
      </c>
      <c r="C45" t="inlineStr">
        <is>
          <t>$F$33</t>
        </is>
      </c>
      <c r="D45" t="inlineStr">
        <is>
          <t>input</t>
        </is>
      </c>
      <c r="E45" t="inlineStr">
        <is>
          <t>currency</t>
        </is>
      </c>
      <c r="F45">
        <f>in_debt_c1_amount</f>
        <v/>
      </c>
      <c r="G45" t="inlineStr">
        <is>
          <t>Assumed Loan loan — Loan Amount (used only when Sizing Method = Loan Amount)</t>
        </is>
      </c>
    </row>
    <row r="46">
      <c r="A46" s="98" t="inlineStr">
        <is>
          <t>in_debt_c1_apply_proceeds</t>
        </is>
      </c>
      <c r="B46" t="inlineStr">
        <is>
          <t>Investor Waterfall</t>
        </is>
      </c>
      <c r="C46" t="inlineStr">
        <is>
          <t>$F$26</t>
        </is>
      </c>
      <c r="D46" t="inlineStr">
        <is>
          <t>input</t>
        </is>
      </c>
      <c r="E46" t="inlineStr">
        <is>
          <t>enum</t>
        </is>
      </c>
      <c r="F46">
        <f>in_debt_c1_apply_proceeds</f>
        <v/>
      </c>
      <c r="G46" t="inlineStr">
        <is>
          <t>c1 loan — Apply Refi Proceeds</t>
        </is>
      </c>
    </row>
    <row r="47">
      <c r="A47" s="98" t="inlineStr">
        <is>
          <t>in_debt_c1_cap</t>
        </is>
      </c>
      <c r="B47" t="inlineStr">
        <is>
          <t>Summary &amp; Assumptions</t>
        </is>
      </c>
      <c r="C47" t="inlineStr">
        <is>
          <t>$F$44</t>
        </is>
      </c>
      <c r="D47" t="inlineStr">
        <is>
          <t>input</t>
        </is>
      </c>
      <c r="E47" t="inlineStr">
        <is>
          <t>pct</t>
        </is>
      </c>
      <c r="F47">
        <f>in_debt_c1_cap</f>
        <v/>
      </c>
      <c r="G47" t="inlineStr">
        <is>
          <t>Assumed Loan loan — Rate Cap</t>
        </is>
      </c>
    </row>
    <row r="48">
      <c r="A48" s="98" t="inlineStr">
        <is>
          <t>in_debt_c1_cap_cost</t>
        </is>
      </c>
      <c r="B48" t="inlineStr">
        <is>
          <t>Summary &amp; Assumptions</t>
        </is>
      </c>
      <c r="C48" t="inlineStr">
        <is>
          <t>$F$45</t>
        </is>
      </c>
      <c r="D48" t="inlineStr">
        <is>
          <t>input</t>
        </is>
      </c>
      <c r="E48" t="inlineStr">
        <is>
          <t>currency</t>
        </is>
      </c>
      <c r="F48">
        <f>in_debt_c1_cap_cost</f>
        <v/>
      </c>
      <c r="G48" t="inlineStr">
        <is>
          <t>Assumed Loan loan — Rate Cap Cost ($)</t>
        </is>
      </c>
    </row>
    <row r="49">
      <c r="A49" s="98" t="inlineStr">
        <is>
          <t>in_debt_c1_dscr_min</t>
        </is>
      </c>
      <c r="B49" t="inlineStr">
        <is>
          <t>Summary &amp; Assumptions</t>
        </is>
      </c>
      <c r="C49" t="inlineStr">
        <is>
          <t>$F$36</t>
        </is>
      </c>
      <c r="D49" t="inlineStr">
        <is>
          <t>input</t>
        </is>
      </c>
      <c r="E49" t="inlineStr">
        <is>
          <t>float</t>
        </is>
      </c>
      <c r="F49">
        <f>in_debt_c1_dscr_min</f>
        <v/>
      </c>
      <c r="G49" t="inlineStr">
        <is>
          <t>Assumed Loan loan — Min DSCR Constraint (on NOI excl. renovation)</t>
        </is>
      </c>
    </row>
    <row r="50">
      <c r="A50" s="98" t="inlineStr">
        <is>
          <t>in_debt_c1_exit_fee_pct</t>
        </is>
      </c>
      <c r="B50" t="inlineStr">
        <is>
          <t>Investor Waterfall</t>
        </is>
      </c>
      <c r="C50" t="inlineStr">
        <is>
          <t>$F$22</t>
        </is>
      </c>
      <c r="D50" t="inlineStr">
        <is>
          <t>input</t>
        </is>
      </c>
      <c r="E50" t="inlineStr">
        <is>
          <t>pct</t>
        </is>
      </c>
      <c r="F50">
        <f>in_debt_c1_exit_fee_pct</f>
        <v/>
      </c>
      <c r="G50" t="inlineStr">
        <is>
          <t>c1 loan — Exit Fee %</t>
        </is>
      </c>
    </row>
    <row r="51">
      <c r="A51" s="98" t="inlineStr">
        <is>
          <t>in_debt_c1_fixed_rate</t>
        </is>
      </c>
      <c r="B51" t="inlineStr">
        <is>
          <t>Summary &amp; Assumptions</t>
        </is>
      </c>
      <c r="C51" t="inlineStr">
        <is>
          <t>$F$40</t>
        </is>
      </c>
      <c r="D51" t="inlineStr">
        <is>
          <t>input</t>
        </is>
      </c>
      <c r="E51" t="inlineStr">
        <is>
          <t>pct</t>
        </is>
      </c>
      <c r="F51">
        <f>in_debt_c1_fixed_rate</f>
        <v/>
      </c>
      <c r="G51" t="inlineStr">
        <is>
          <t>Assumed Loan loan — Fixed Rate</t>
        </is>
      </c>
    </row>
    <row r="52">
      <c r="A52" s="98" t="inlineStr">
        <is>
          <t>in_debt_c1_floor</t>
        </is>
      </c>
      <c r="B52" t="inlineStr">
        <is>
          <t>Summary &amp; Assumptions</t>
        </is>
      </c>
      <c r="C52" t="inlineStr">
        <is>
          <t>$F$43</t>
        </is>
      </c>
      <c r="D52" t="inlineStr">
        <is>
          <t>input</t>
        </is>
      </c>
      <c r="E52" t="inlineStr">
        <is>
          <t>pct</t>
        </is>
      </c>
      <c r="F52">
        <f>in_debt_c1_floor</f>
        <v/>
      </c>
      <c r="G52" t="inlineStr">
        <is>
          <t>Assumed Loan loan — Rate Floor</t>
        </is>
      </c>
    </row>
    <row r="53">
      <c r="A53" s="98" t="inlineStr">
        <is>
          <t>in_debt_c1_include</t>
        </is>
      </c>
      <c r="B53" t="inlineStr">
        <is>
          <t>Summary &amp; Assumptions</t>
        </is>
      </c>
      <c r="C53" t="inlineStr">
        <is>
          <t>$F$31</t>
        </is>
      </c>
      <c r="D53" t="inlineStr">
        <is>
          <t>input</t>
        </is>
      </c>
      <c r="E53" t="inlineStr">
        <is>
          <t>enum</t>
        </is>
      </c>
      <c r="F53">
        <f>in_debt_c1_include</f>
        <v/>
      </c>
      <c r="G53" t="inlineStr">
        <is>
          <t>Assumed Loan loan — Include?</t>
        </is>
      </c>
    </row>
    <row r="54">
      <c r="A54" s="98" t="inlineStr">
        <is>
          <t>in_debt_c1_index</t>
        </is>
      </c>
      <c r="B54" t="inlineStr">
        <is>
          <t>Summary &amp; Assumptions</t>
        </is>
      </c>
      <c r="C54" t="inlineStr">
        <is>
          <t>$F$41</t>
        </is>
      </c>
      <c r="D54" t="inlineStr">
        <is>
          <t>input</t>
        </is>
      </c>
      <c r="E54" t="inlineStr">
        <is>
          <t>enum</t>
        </is>
      </c>
      <c r="F54">
        <f>in_debt_c1_index</f>
        <v/>
      </c>
      <c r="G54" t="inlineStr">
        <is>
          <t>Assumed Loan loan — Index</t>
        </is>
      </c>
    </row>
    <row r="55">
      <c r="A55" s="98" t="inlineStr">
        <is>
          <t>in_debt_c1_int_reserve</t>
        </is>
      </c>
      <c r="B55" t="inlineStr">
        <is>
          <t>Investor Waterfall</t>
        </is>
      </c>
      <c r="C55" t="inlineStr">
        <is>
          <t>$F$25</t>
        </is>
      </c>
      <c r="D55" t="inlineStr">
        <is>
          <t>input</t>
        </is>
      </c>
      <c r="E55" t="inlineStr">
        <is>
          <t>currency</t>
        </is>
      </c>
      <c r="F55">
        <f>in_debt_c1_int_reserve</f>
        <v/>
      </c>
      <c r="G55" t="inlineStr">
        <is>
          <t>c1 loan — Interest Reserve $</t>
        </is>
      </c>
    </row>
    <row r="56">
      <c r="A56" s="98" t="inlineStr">
        <is>
          <t>in_debt_c1_io_years</t>
        </is>
      </c>
      <c r="B56" t="inlineStr">
        <is>
          <t>Summary &amp; Assumptions</t>
        </is>
      </c>
      <c r="C56" t="inlineStr">
        <is>
          <t>$F$47</t>
        </is>
      </c>
      <c r="D56" t="inlineStr">
        <is>
          <t>input</t>
        </is>
      </c>
      <c r="E56" t="inlineStr">
        <is>
          <t>int</t>
        </is>
      </c>
      <c r="F56">
        <f>in_debt_c1_io_years</f>
        <v/>
      </c>
      <c r="G56" t="inlineStr">
        <is>
          <t>Assumed Loan loan — IO Period (years)</t>
        </is>
      </c>
    </row>
    <row r="57">
      <c r="A57" s="98" t="inlineStr">
        <is>
          <t>in_debt_c1_ltv</t>
        </is>
      </c>
      <c r="B57" t="inlineStr">
        <is>
          <t>Summary &amp; Assumptions</t>
        </is>
      </c>
      <c r="C57" t="inlineStr">
        <is>
          <t>$F$35</t>
        </is>
      </c>
      <c r="D57" t="inlineStr">
        <is>
          <t>input</t>
        </is>
      </c>
      <c r="E57" t="inlineStr">
        <is>
          <t>pct</t>
        </is>
      </c>
      <c r="F57">
        <f>in_debt_c1_ltv</f>
        <v/>
      </c>
      <c r="G57" t="inlineStr">
        <is>
          <t>Assumed Loan loan — LTV (% of price)</t>
        </is>
      </c>
    </row>
    <row r="58">
      <c r="A58" s="98" t="inlineStr">
        <is>
          <t>in_debt_c1_orig_fee_pct</t>
        </is>
      </c>
      <c r="B58" t="inlineStr">
        <is>
          <t>Summary &amp; Assumptions</t>
        </is>
      </c>
      <c r="C58" t="inlineStr">
        <is>
          <t>$F$49</t>
        </is>
      </c>
      <c r="D58" t="inlineStr">
        <is>
          <t>input</t>
        </is>
      </c>
      <c r="E58" t="inlineStr">
        <is>
          <t>pct</t>
        </is>
      </c>
      <c r="F58">
        <f>in_debt_c1_orig_fee_pct</f>
        <v/>
      </c>
      <c r="G58" t="inlineStr">
        <is>
          <t>Assumed Loan loan — Origination Fee %</t>
        </is>
      </c>
    </row>
    <row r="59">
      <c r="A59" s="98" t="inlineStr">
        <is>
          <t>in_debt_c1_orig_fee_usd</t>
        </is>
      </c>
      <c r="B59" t="inlineStr">
        <is>
          <t>Investor Waterfall</t>
        </is>
      </c>
      <c r="C59" t="inlineStr">
        <is>
          <t>$F$21</t>
        </is>
      </c>
      <c r="D59" t="inlineStr">
        <is>
          <t>input</t>
        </is>
      </c>
      <c r="E59" t="inlineStr">
        <is>
          <t>currency</t>
        </is>
      </c>
      <c r="F59">
        <f>in_debt_c1_orig_fee_usd</f>
        <v/>
      </c>
      <c r="G59" t="inlineStr">
        <is>
          <t>c1 loan — Origination Fee $</t>
        </is>
      </c>
    </row>
    <row r="60">
      <c r="A60" s="98" t="inlineStr">
        <is>
          <t>in_debt_c1_prepay_usd</t>
        </is>
      </c>
      <c r="B60" t="inlineStr">
        <is>
          <t>Investor Waterfall</t>
        </is>
      </c>
      <c r="C60" t="inlineStr">
        <is>
          <t>$F$23</t>
        </is>
      </c>
      <c r="D60" t="inlineStr">
        <is>
          <t>input</t>
        </is>
      </c>
      <c r="E60" t="inlineStr">
        <is>
          <t>currency</t>
        </is>
      </c>
      <c r="F60">
        <f>in_debt_c1_prepay_usd</f>
        <v/>
      </c>
      <c r="G60" t="inlineStr">
        <is>
          <t>c1 loan — Prepayment Penalty $</t>
        </is>
      </c>
    </row>
    <row r="61">
      <c r="A61" s="98" t="inlineStr">
        <is>
          <t>in_debt_c1_rate_type</t>
        </is>
      </c>
      <c r="B61" t="inlineStr">
        <is>
          <t>Summary &amp; Assumptions</t>
        </is>
      </c>
      <c r="C61" t="inlineStr">
        <is>
          <t>$F$39</t>
        </is>
      </c>
      <c r="D61" t="inlineStr">
        <is>
          <t>input</t>
        </is>
      </c>
      <c r="E61" t="inlineStr">
        <is>
          <t>enum</t>
        </is>
      </c>
      <c r="F61">
        <f>in_debt_c1_rate_type</f>
        <v/>
      </c>
      <c r="G61" t="inlineStr">
        <is>
          <t>Assumed Loan loan — Rate Type</t>
        </is>
      </c>
    </row>
    <row r="62">
      <c r="A62" s="98" t="inlineStr">
        <is>
          <t>in_debt_c1_reno_draw</t>
        </is>
      </c>
      <c r="B62" t="inlineStr">
        <is>
          <t>Investor Waterfall</t>
        </is>
      </c>
      <c r="C62" t="inlineStr">
        <is>
          <t>$F$24</t>
        </is>
      </c>
      <c r="D62" t="inlineStr">
        <is>
          <t>input</t>
        </is>
      </c>
      <c r="E62" t="inlineStr">
        <is>
          <t>currency</t>
        </is>
      </c>
      <c r="F62">
        <f>in_debt_c1_reno_draw</f>
        <v/>
      </c>
      <c r="G62" t="inlineStr">
        <is>
          <t>c1 loan — Reno Draw Facility $</t>
        </is>
      </c>
    </row>
    <row r="63">
      <c r="A63" s="98" t="inlineStr">
        <is>
          <t>in_debt_c1_sizing</t>
        </is>
      </c>
      <c r="B63" t="inlineStr">
        <is>
          <t>Summary &amp; Assumptions</t>
        </is>
      </c>
      <c r="C63" t="inlineStr">
        <is>
          <t>$F$32</t>
        </is>
      </c>
      <c r="D63" t="inlineStr">
        <is>
          <t>input</t>
        </is>
      </c>
      <c r="E63" t="inlineStr">
        <is>
          <t>enum</t>
        </is>
      </c>
      <c r="F63">
        <f>in_debt_c1_sizing</f>
        <v/>
      </c>
      <c r="G63" t="inlineStr">
        <is>
          <t>Assumed Loan loan — Sizing Method</t>
        </is>
      </c>
    </row>
    <row r="64">
      <c r="A64" s="98" t="inlineStr">
        <is>
          <t>in_debt_c1_spread</t>
        </is>
      </c>
      <c r="B64" t="inlineStr">
        <is>
          <t>Summary &amp; Assumptions</t>
        </is>
      </c>
      <c r="C64" t="inlineStr">
        <is>
          <t>$F$42</t>
        </is>
      </c>
      <c r="D64" t="inlineStr">
        <is>
          <t>input</t>
        </is>
      </c>
      <c r="E64" t="inlineStr">
        <is>
          <t>pct</t>
        </is>
      </c>
      <c r="F64">
        <f>in_debt_c1_spread</f>
        <v/>
      </c>
      <c r="G64" t="inlineStr">
        <is>
          <t>Assumed Loan loan — Spread</t>
        </is>
      </c>
    </row>
    <row r="65">
      <c r="A65" s="98" t="inlineStr">
        <is>
          <t>in_debt_c1_start_year</t>
        </is>
      </c>
      <c r="B65" t="inlineStr">
        <is>
          <t>Summary &amp; Assumptions</t>
        </is>
      </c>
      <c r="C65" t="inlineStr">
        <is>
          <t>$F$37</t>
        </is>
      </c>
      <c r="D65" t="inlineStr">
        <is>
          <t>input</t>
        </is>
      </c>
      <c r="E65" t="inlineStr">
        <is>
          <t>int</t>
        </is>
      </c>
      <c r="F65">
        <f>in_debt_c1_start_year</f>
        <v/>
      </c>
      <c r="G65" t="inlineStr">
        <is>
          <t>Assumed Loan loan — Start Year (0 = close)</t>
        </is>
      </c>
    </row>
    <row r="66">
      <c r="A66" s="98" t="inlineStr">
        <is>
          <t>in_debt_c1_structure</t>
        </is>
      </c>
      <c r="B66" t="inlineStr">
        <is>
          <t>Summary &amp; Assumptions</t>
        </is>
      </c>
      <c r="C66" t="inlineStr">
        <is>
          <t>$F$46</t>
        </is>
      </c>
      <c r="D66" t="inlineStr">
        <is>
          <t>input</t>
        </is>
      </c>
      <c r="E66" t="inlineStr">
        <is>
          <t>enum</t>
        </is>
      </c>
      <c r="F66">
        <f>in_debt_c1_structure</f>
        <v/>
      </c>
      <c r="G66" t="inlineStr">
        <is>
          <t>Assumed Loan loan — Structure</t>
        </is>
      </c>
      <c r="H66" s="95" t="inlineStr">
        <is>
          <t>'=IF(F47=0,"Amortizing","IO then Amortizing")</t>
        </is>
      </c>
    </row>
    <row r="67">
      <c r="A67" s="98" t="inlineStr">
        <is>
          <t>in_debt_c1_term</t>
        </is>
      </c>
      <c r="B67" t="inlineStr">
        <is>
          <t>Summary &amp; Assumptions</t>
        </is>
      </c>
      <c r="C67" t="inlineStr">
        <is>
          <t>$F$38</t>
        </is>
      </c>
      <c r="D67" t="inlineStr">
        <is>
          <t>input</t>
        </is>
      </c>
      <c r="E67" t="inlineStr">
        <is>
          <t>int</t>
        </is>
      </c>
      <c r="F67">
        <f>in_debt_c1_term</f>
        <v/>
      </c>
      <c r="G67" t="inlineStr">
        <is>
          <t>Assumed Loan loan — Term (years)</t>
        </is>
      </c>
    </row>
    <row r="68">
      <c r="A68" s="98" t="inlineStr">
        <is>
          <t>in_debt_c2_amort_years</t>
        </is>
      </c>
      <c r="B68" t="inlineStr">
        <is>
          <t>Summary &amp; Assumptions</t>
        </is>
      </c>
      <c r="C68" t="inlineStr">
        <is>
          <t>$G$48</t>
        </is>
      </c>
      <c r="D68" t="inlineStr">
        <is>
          <t>input</t>
        </is>
      </c>
      <c r="E68" t="inlineStr">
        <is>
          <t>int</t>
        </is>
      </c>
      <c r="F68">
        <f>in_debt_c2_amort_years</f>
        <v/>
      </c>
      <c r="G68" t="inlineStr">
        <is>
          <t>Custom 1 loan — Amortization (years)</t>
        </is>
      </c>
    </row>
    <row r="69">
      <c r="A69" s="98" t="inlineStr">
        <is>
          <t>in_debt_c2_amount</t>
        </is>
      </c>
      <c r="B69" t="inlineStr">
        <is>
          <t>Summary &amp; Assumptions</t>
        </is>
      </c>
      <c r="C69" t="inlineStr">
        <is>
          <t>$G$33</t>
        </is>
      </c>
      <c r="D69" t="inlineStr">
        <is>
          <t>input</t>
        </is>
      </c>
      <c r="E69" t="inlineStr">
        <is>
          <t>currency</t>
        </is>
      </c>
      <c r="F69">
        <f>in_debt_c2_amount</f>
        <v/>
      </c>
      <c r="G69" t="inlineStr">
        <is>
          <t>Custom 1 loan — Loan Amount (used only when Sizing Method = Loan Amount)</t>
        </is>
      </c>
    </row>
    <row r="70">
      <c r="A70" s="98" t="inlineStr">
        <is>
          <t>in_debt_c2_apply_proceeds</t>
        </is>
      </c>
      <c r="B70" t="inlineStr">
        <is>
          <t>Investor Waterfall</t>
        </is>
      </c>
      <c r="C70" t="inlineStr">
        <is>
          <t>$G$26</t>
        </is>
      </c>
      <c r="D70" t="inlineStr">
        <is>
          <t>input</t>
        </is>
      </c>
      <c r="E70" t="inlineStr">
        <is>
          <t>enum</t>
        </is>
      </c>
      <c r="F70">
        <f>in_debt_c2_apply_proceeds</f>
        <v/>
      </c>
      <c r="G70" t="inlineStr">
        <is>
          <t>c2 loan — Apply Refi Proceeds</t>
        </is>
      </c>
    </row>
    <row r="71">
      <c r="A71" s="98" t="inlineStr">
        <is>
          <t>in_debt_c2_cap</t>
        </is>
      </c>
      <c r="B71" t="inlineStr">
        <is>
          <t>Summary &amp; Assumptions</t>
        </is>
      </c>
      <c r="C71" t="inlineStr">
        <is>
          <t>$G$44</t>
        </is>
      </c>
      <c r="D71" t="inlineStr">
        <is>
          <t>input</t>
        </is>
      </c>
      <c r="E71" t="inlineStr">
        <is>
          <t>pct</t>
        </is>
      </c>
      <c r="F71">
        <f>in_debt_c2_cap</f>
        <v/>
      </c>
      <c r="G71" t="inlineStr">
        <is>
          <t>Custom 1 loan — Rate Cap</t>
        </is>
      </c>
    </row>
    <row r="72">
      <c r="A72" s="98" t="inlineStr">
        <is>
          <t>in_debt_c2_cap_cost</t>
        </is>
      </c>
      <c r="B72" t="inlineStr">
        <is>
          <t>Summary &amp; Assumptions</t>
        </is>
      </c>
      <c r="C72" t="inlineStr">
        <is>
          <t>$G$45</t>
        </is>
      </c>
      <c r="D72" t="inlineStr">
        <is>
          <t>input</t>
        </is>
      </c>
      <c r="E72" t="inlineStr">
        <is>
          <t>currency</t>
        </is>
      </c>
      <c r="F72">
        <f>in_debt_c2_cap_cost</f>
        <v/>
      </c>
      <c r="G72" t="inlineStr">
        <is>
          <t>Custom 1 loan — Rate Cap Cost ($)</t>
        </is>
      </c>
    </row>
    <row r="73">
      <c r="A73" s="98" t="inlineStr">
        <is>
          <t>in_debt_c2_dscr_min</t>
        </is>
      </c>
      <c r="B73" t="inlineStr">
        <is>
          <t>Summary &amp; Assumptions</t>
        </is>
      </c>
      <c r="C73" t="inlineStr">
        <is>
          <t>$G$36</t>
        </is>
      </c>
      <c r="D73" t="inlineStr">
        <is>
          <t>input</t>
        </is>
      </c>
      <c r="E73" t="inlineStr">
        <is>
          <t>float</t>
        </is>
      </c>
      <c r="F73">
        <f>in_debt_c2_dscr_min</f>
        <v/>
      </c>
      <c r="G73" t="inlineStr">
        <is>
          <t>Custom 1 loan — Min DSCR Constraint (on NOI excl. renovation)</t>
        </is>
      </c>
    </row>
    <row r="74">
      <c r="A74" s="98" t="inlineStr">
        <is>
          <t>in_debt_c2_exit_fee_pct</t>
        </is>
      </c>
      <c r="B74" t="inlineStr">
        <is>
          <t>Investor Waterfall</t>
        </is>
      </c>
      <c r="C74" t="inlineStr">
        <is>
          <t>$G$22</t>
        </is>
      </c>
      <c r="D74" t="inlineStr">
        <is>
          <t>input</t>
        </is>
      </c>
      <c r="E74" t="inlineStr">
        <is>
          <t>pct</t>
        </is>
      </c>
      <c r="F74">
        <f>in_debt_c2_exit_fee_pct</f>
        <v/>
      </c>
      <c r="G74" t="inlineStr">
        <is>
          <t>c2 loan — Exit Fee %</t>
        </is>
      </c>
    </row>
    <row r="75">
      <c r="A75" s="98" t="inlineStr">
        <is>
          <t>in_debt_c2_fixed_rate</t>
        </is>
      </c>
      <c r="B75" t="inlineStr">
        <is>
          <t>Summary &amp; Assumptions</t>
        </is>
      </c>
      <c r="C75" t="inlineStr">
        <is>
          <t>$G$40</t>
        </is>
      </c>
      <c r="D75" t="inlineStr">
        <is>
          <t>input</t>
        </is>
      </c>
      <c r="E75" t="inlineStr">
        <is>
          <t>pct</t>
        </is>
      </c>
      <c r="F75">
        <f>in_debt_c2_fixed_rate</f>
        <v/>
      </c>
      <c r="G75" t="inlineStr">
        <is>
          <t>Custom 1 loan — Fixed Rate</t>
        </is>
      </c>
    </row>
    <row r="76">
      <c r="A76" s="98" t="inlineStr">
        <is>
          <t>in_debt_c2_floor</t>
        </is>
      </c>
      <c r="B76" t="inlineStr">
        <is>
          <t>Summary &amp; Assumptions</t>
        </is>
      </c>
      <c r="C76" t="inlineStr">
        <is>
          <t>$G$43</t>
        </is>
      </c>
      <c r="D76" t="inlineStr">
        <is>
          <t>input</t>
        </is>
      </c>
      <c r="E76" t="inlineStr">
        <is>
          <t>pct</t>
        </is>
      </c>
      <c r="F76">
        <f>in_debt_c2_floor</f>
        <v/>
      </c>
      <c r="G76" t="inlineStr">
        <is>
          <t>Custom 1 loan — Rate Floor</t>
        </is>
      </c>
    </row>
    <row r="77">
      <c r="A77" s="98" t="inlineStr">
        <is>
          <t>in_debt_c2_include</t>
        </is>
      </c>
      <c r="B77" t="inlineStr">
        <is>
          <t>Summary &amp; Assumptions</t>
        </is>
      </c>
      <c r="C77" t="inlineStr">
        <is>
          <t>$G$31</t>
        </is>
      </c>
      <c r="D77" t="inlineStr">
        <is>
          <t>input</t>
        </is>
      </c>
      <c r="E77" t="inlineStr">
        <is>
          <t>enum</t>
        </is>
      </c>
      <c r="F77">
        <f>in_debt_c2_include</f>
        <v/>
      </c>
      <c r="G77" t="inlineStr">
        <is>
          <t>Custom 1 loan — Include?</t>
        </is>
      </c>
    </row>
    <row r="78">
      <c r="A78" s="98" t="inlineStr">
        <is>
          <t>in_debt_c2_index</t>
        </is>
      </c>
      <c r="B78" t="inlineStr">
        <is>
          <t>Summary &amp; Assumptions</t>
        </is>
      </c>
      <c r="C78" t="inlineStr">
        <is>
          <t>$G$41</t>
        </is>
      </c>
      <c r="D78" t="inlineStr">
        <is>
          <t>input</t>
        </is>
      </c>
      <c r="E78" t="inlineStr">
        <is>
          <t>enum</t>
        </is>
      </c>
      <c r="F78">
        <f>in_debt_c2_index</f>
        <v/>
      </c>
      <c r="G78" t="inlineStr">
        <is>
          <t>Custom 1 loan — Index</t>
        </is>
      </c>
    </row>
    <row r="79">
      <c r="A79" s="98" t="inlineStr">
        <is>
          <t>in_debt_c2_int_reserve</t>
        </is>
      </c>
      <c r="B79" t="inlineStr">
        <is>
          <t>Investor Waterfall</t>
        </is>
      </c>
      <c r="C79" t="inlineStr">
        <is>
          <t>$G$25</t>
        </is>
      </c>
      <c r="D79" t="inlineStr">
        <is>
          <t>input</t>
        </is>
      </c>
      <c r="E79" t="inlineStr">
        <is>
          <t>currency</t>
        </is>
      </c>
      <c r="F79">
        <f>in_debt_c2_int_reserve</f>
        <v/>
      </c>
      <c r="G79" t="inlineStr">
        <is>
          <t>c2 loan — Interest Reserve $</t>
        </is>
      </c>
    </row>
    <row r="80">
      <c r="A80" s="98" t="inlineStr">
        <is>
          <t>in_debt_c2_io_years</t>
        </is>
      </c>
      <c r="B80" t="inlineStr">
        <is>
          <t>Summary &amp; Assumptions</t>
        </is>
      </c>
      <c r="C80" t="inlineStr">
        <is>
          <t>$G$47</t>
        </is>
      </c>
      <c r="D80" t="inlineStr">
        <is>
          <t>input</t>
        </is>
      </c>
      <c r="E80" t="inlineStr">
        <is>
          <t>int</t>
        </is>
      </c>
      <c r="F80">
        <f>in_debt_c2_io_years</f>
        <v/>
      </c>
      <c r="G80" t="inlineStr">
        <is>
          <t>Custom 1 loan — IO Period (years)</t>
        </is>
      </c>
    </row>
    <row r="81">
      <c r="A81" s="98" t="inlineStr">
        <is>
          <t>in_debt_c2_ltv</t>
        </is>
      </c>
      <c r="B81" t="inlineStr">
        <is>
          <t>Summary &amp; Assumptions</t>
        </is>
      </c>
      <c r="C81" t="inlineStr">
        <is>
          <t>$G$35</t>
        </is>
      </c>
      <c r="D81" t="inlineStr">
        <is>
          <t>input</t>
        </is>
      </c>
      <c r="E81" t="inlineStr">
        <is>
          <t>pct</t>
        </is>
      </c>
      <c r="F81">
        <f>in_debt_c2_ltv</f>
        <v/>
      </c>
      <c r="G81" t="inlineStr">
        <is>
          <t>Custom 1 loan — LTV (% of price)</t>
        </is>
      </c>
    </row>
    <row r="82">
      <c r="A82" s="98" t="inlineStr">
        <is>
          <t>in_debt_c2_orig_fee_pct</t>
        </is>
      </c>
      <c r="B82" t="inlineStr">
        <is>
          <t>Summary &amp; Assumptions</t>
        </is>
      </c>
      <c r="C82" t="inlineStr">
        <is>
          <t>$G$49</t>
        </is>
      </c>
      <c r="D82" t="inlineStr">
        <is>
          <t>input</t>
        </is>
      </c>
      <c r="E82" t="inlineStr">
        <is>
          <t>pct</t>
        </is>
      </c>
      <c r="F82">
        <f>in_debt_c2_orig_fee_pct</f>
        <v/>
      </c>
      <c r="G82" t="inlineStr">
        <is>
          <t>Custom 1 loan — Origination Fee %</t>
        </is>
      </c>
    </row>
    <row r="83">
      <c r="A83" s="98" t="inlineStr">
        <is>
          <t>in_debt_c2_orig_fee_usd</t>
        </is>
      </c>
      <c r="B83" t="inlineStr">
        <is>
          <t>Investor Waterfall</t>
        </is>
      </c>
      <c r="C83" t="inlineStr">
        <is>
          <t>$G$21</t>
        </is>
      </c>
      <c r="D83" t="inlineStr">
        <is>
          <t>input</t>
        </is>
      </c>
      <c r="E83" t="inlineStr">
        <is>
          <t>currency</t>
        </is>
      </c>
      <c r="F83">
        <f>in_debt_c2_orig_fee_usd</f>
        <v/>
      </c>
      <c r="G83" t="inlineStr">
        <is>
          <t>c2 loan — Origination Fee $</t>
        </is>
      </c>
    </row>
    <row r="84">
      <c r="A84" s="98" t="inlineStr">
        <is>
          <t>in_debt_c2_prepay_usd</t>
        </is>
      </c>
      <c r="B84" t="inlineStr">
        <is>
          <t>Investor Waterfall</t>
        </is>
      </c>
      <c r="C84" t="inlineStr">
        <is>
          <t>$G$23</t>
        </is>
      </c>
      <c r="D84" t="inlineStr">
        <is>
          <t>input</t>
        </is>
      </c>
      <c r="E84" t="inlineStr">
        <is>
          <t>currency</t>
        </is>
      </c>
      <c r="F84">
        <f>in_debt_c2_prepay_usd</f>
        <v/>
      </c>
      <c r="G84" t="inlineStr">
        <is>
          <t>c2 loan — Prepayment Penalty $</t>
        </is>
      </c>
    </row>
    <row r="85">
      <c r="A85" s="98" t="inlineStr">
        <is>
          <t>in_debt_c2_rate_type</t>
        </is>
      </c>
      <c r="B85" t="inlineStr">
        <is>
          <t>Summary &amp; Assumptions</t>
        </is>
      </c>
      <c r="C85" t="inlineStr">
        <is>
          <t>$G$39</t>
        </is>
      </c>
      <c r="D85" t="inlineStr">
        <is>
          <t>input</t>
        </is>
      </c>
      <c r="E85" t="inlineStr">
        <is>
          <t>enum</t>
        </is>
      </c>
      <c r="F85">
        <f>in_debt_c2_rate_type</f>
        <v/>
      </c>
      <c r="G85" t="inlineStr">
        <is>
          <t>Custom 1 loan — Rate Type</t>
        </is>
      </c>
    </row>
    <row r="86">
      <c r="A86" s="98" t="inlineStr">
        <is>
          <t>in_debt_c2_reno_draw</t>
        </is>
      </c>
      <c r="B86" t="inlineStr">
        <is>
          <t>Investor Waterfall</t>
        </is>
      </c>
      <c r="C86" t="inlineStr">
        <is>
          <t>$G$24</t>
        </is>
      </c>
      <c r="D86" t="inlineStr">
        <is>
          <t>input</t>
        </is>
      </c>
      <c r="E86" t="inlineStr">
        <is>
          <t>currency</t>
        </is>
      </c>
      <c r="F86">
        <f>in_debt_c2_reno_draw</f>
        <v/>
      </c>
      <c r="G86" t="inlineStr">
        <is>
          <t>c2 loan — Reno Draw Facility $</t>
        </is>
      </c>
    </row>
    <row r="87">
      <c r="A87" s="98" t="inlineStr">
        <is>
          <t>in_debt_c2_sizing</t>
        </is>
      </c>
      <c r="B87" t="inlineStr">
        <is>
          <t>Summary &amp; Assumptions</t>
        </is>
      </c>
      <c r="C87" t="inlineStr">
        <is>
          <t>$G$32</t>
        </is>
      </c>
      <c r="D87" t="inlineStr">
        <is>
          <t>input</t>
        </is>
      </c>
      <c r="E87" t="inlineStr">
        <is>
          <t>enum</t>
        </is>
      </c>
      <c r="F87">
        <f>in_debt_c2_sizing</f>
        <v/>
      </c>
      <c r="G87" t="inlineStr">
        <is>
          <t>Custom 1 loan — Sizing Method</t>
        </is>
      </c>
    </row>
    <row r="88">
      <c r="A88" s="98" t="inlineStr">
        <is>
          <t>in_debt_c2_spread</t>
        </is>
      </c>
      <c r="B88" t="inlineStr">
        <is>
          <t>Summary &amp; Assumptions</t>
        </is>
      </c>
      <c r="C88" t="inlineStr">
        <is>
          <t>$G$42</t>
        </is>
      </c>
      <c r="D88" t="inlineStr">
        <is>
          <t>input</t>
        </is>
      </c>
      <c r="E88" t="inlineStr">
        <is>
          <t>pct</t>
        </is>
      </c>
      <c r="F88">
        <f>in_debt_c2_spread</f>
        <v/>
      </c>
      <c r="G88" t="inlineStr">
        <is>
          <t>Custom 1 loan — Spread</t>
        </is>
      </c>
    </row>
    <row r="89">
      <c r="A89" s="98" t="inlineStr">
        <is>
          <t>in_debt_c2_start_year</t>
        </is>
      </c>
      <c r="B89" t="inlineStr">
        <is>
          <t>Summary &amp; Assumptions</t>
        </is>
      </c>
      <c r="C89" t="inlineStr">
        <is>
          <t>$G$37</t>
        </is>
      </c>
      <c r="D89" t="inlineStr">
        <is>
          <t>input</t>
        </is>
      </c>
      <c r="E89" t="inlineStr">
        <is>
          <t>int</t>
        </is>
      </c>
      <c r="F89">
        <f>in_debt_c2_start_year</f>
        <v/>
      </c>
      <c r="G89" t="inlineStr">
        <is>
          <t>Custom 1 loan — Start Year (0 = close)</t>
        </is>
      </c>
    </row>
    <row r="90">
      <c r="A90" s="98" t="inlineStr">
        <is>
          <t>in_debt_c2_structure</t>
        </is>
      </c>
      <c r="B90" t="inlineStr">
        <is>
          <t>Summary &amp; Assumptions</t>
        </is>
      </c>
      <c r="C90" t="inlineStr">
        <is>
          <t>$G$46</t>
        </is>
      </c>
      <c r="D90" t="inlineStr">
        <is>
          <t>input</t>
        </is>
      </c>
      <c r="E90" t="inlineStr">
        <is>
          <t>enum</t>
        </is>
      </c>
      <c r="F90">
        <f>in_debt_c2_structure</f>
        <v/>
      </c>
      <c r="G90" t="inlineStr">
        <is>
          <t>Custom 1 loan — Structure</t>
        </is>
      </c>
      <c r="H90" s="95" t="inlineStr">
        <is>
          <t>'=IF(G47=0,"Amortizing","IO then Amortizing")</t>
        </is>
      </c>
    </row>
    <row r="91">
      <c r="A91" s="98" t="inlineStr">
        <is>
          <t>in_debt_c2_term</t>
        </is>
      </c>
      <c r="B91" t="inlineStr">
        <is>
          <t>Summary &amp; Assumptions</t>
        </is>
      </c>
      <c r="C91" t="inlineStr">
        <is>
          <t>$G$38</t>
        </is>
      </c>
      <c r="D91" t="inlineStr">
        <is>
          <t>input</t>
        </is>
      </c>
      <c r="E91" t="inlineStr">
        <is>
          <t>int</t>
        </is>
      </c>
      <c r="F91">
        <f>in_debt_c2_term</f>
        <v/>
      </c>
      <c r="G91" t="inlineStr">
        <is>
          <t>Custom 1 loan — Term (years)</t>
        </is>
      </c>
    </row>
    <row r="92">
      <c r="A92" s="98" t="inlineStr">
        <is>
          <t>in_debt_c3_amort_years</t>
        </is>
      </c>
      <c r="B92" t="inlineStr">
        <is>
          <t>Summary &amp; Assumptions</t>
        </is>
      </c>
      <c r="C92" t="inlineStr">
        <is>
          <t>$H$48</t>
        </is>
      </c>
      <c r="D92" t="inlineStr">
        <is>
          <t>input</t>
        </is>
      </c>
      <c r="E92" t="inlineStr">
        <is>
          <t>int</t>
        </is>
      </c>
      <c r="F92">
        <f>in_debt_c3_amort_years</f>
        <v/>
      </c>
      <c r="G92" t="inlineStr">
        <is>
          <t>Custom 2 loan — Amortization (years)</t>
        </is>
      </c>
    </row>
    <row r="93">
      <c r="A93" s="98" t="inlineStr">
        <is>
          <t>in_debt_c3_amount</t>
        </is>
      </c>
      <c r="B93" t="inlineStr">
        <is>
          <t>Summary &amp; Assumptions</t>
        </is>
      </c>
      <c r="C93" t="inlineStr">
        <is>
          <t>$H$33</t>
        </is>
      </c>
      <c r="D93" t="inlineStr">
        <is>
          <t>input</t>
        </is>
      </c>
      <c r="E93" t="inlineStr">
        <is>
          <t>currency</t>
        </is>
      </c>
      <c r="F93">
        <f>in_debt_c3_amount</f>
        <v/>
      </c>
      <c r="G93" t="inlineStr">
        <is>
          <t>Custom 2 loan — Loan Amount (used only when Sizing Method = Loan Amount)</t>
        </is>
      </c>
    </row>
    <row r="94">
      <c r="A94" s="98" t="inlineStr">
        <is>
          <t>in_debt_c3_apply_proceeds</t>
        </is>
      </c>
      <c r="B94" t="inlineStr">
        <is>
          <t>Investor Waterfall</t>
        </is>
      </c>
      <c r="C94" t="inlineStr">
        <is>
          <t>$H$26</t>
        </is>
      </c>
      <c r="D94" t="inlineStr">
        <is>
          <t>input</t>
        </is>
      </c>
      <c r="E94" t="inlineStr">
        <is>
          <t>enum</t>
        </is>
      </c>
      <c r="F94">
        <f>in_debt_c3_apply_proceeds</f>
        <v/>
      </c>
      <c r="G94" t="inlineStr">
        <is>
          <t>c3 loan — Apply Refi Proceeds</t>
        </is>
      </c>
    </row>
    <row r="95">
      <c r="A95" s="98" t="inlineStr">
        <is>
          <t>in_debt_c3_cap</t>
        </is>
      </c>
      <c r="B95" t="inlineStr">
        <is>
          <t>Summary &amp; Assumptions</t>
        </is>
      </c>
      <c r="C95" t="inlineStr">
        <is>
          <t>$H$44</t>
        </is>
      </c>
      <c r="D95" t="inlineStr">
        <is>
          <t>input</t>
        </is>
      </c>
      <c r="E95" t="inlineStr">
        <is>
          <t>pct</t>
        </is>
      </c>
      <c r="F95">
        <f>in_debt_c3_cap</f>
        <v/>
      </c>
      <c r="G95" t="inlineStr">
        <is>
          <t>Custom 2 loan — Rate Cap</t>
        </is>
      </c>
    </row>
    <row r="96">
      <c r="A96" s="98" t="inlineStr">
        <is>
          <t>in_debt_c3_cap_cost</t>
        </is>
      </c>
      <c r="B96" t="inlineStr">
        <is>
          <t>Summary &amp; Assumptions</t>
        </is>
      </c>
      <c r="C96" t="inlineStr">
        <is>
          <t>$H$45</t>
        </is>
      </c>
      <c r="D96" t="inlineStr">
        <is>
          <t>input</t>
        </is>
      </c>
      <c r="E96" t="inlineStr">
        <is>
          <t>currency</t>
        </is>
      </c>
      <c r="F96">
        <f>in_debt_c3_cap_cost</f>
        <v/>
      </c>
      <c r="G96" t="inlineStr">
        <is>
          <t>Custom 2 loan — Rate Cap Cost ($)</t>
        </is>
      </c>
    </row>
    <row r="97">
      <c r="A97" s="98" t="inlineStr">
        <is>
          <t>in_debt_c3_dscr_min</t>
        </is>
      </c>
      <c r="B97" t="inlineStr">
        <is>
          <t>Summary &amp; Assumptions</t>
        </is>
      </c>
      <c r="C97" t="inlineStr">
        <is>
          <t>$H$36</t>
        </is>
      </c>
      <c r="D97" t="inlineStr">
        <is>
          <t>input</t>
        </is>
      </c>
      <c r="E97" t="inlineStr">
        <is>
          <t>float</t>
        </is>
      </c>
      <c r="F97">
        <f>in_debt_c3_dscr_min</f>
        <v/>
      </c>
      <c r="G97" t="inlineStr">
        <is>
          <t>Custom 2 loan — Min DSCR Constraint (on NOI excl. renovation)</t>
        </is>
      </c>
    </row>
    <row r="98">
      <c r="A98" s="98" t="inlineStr">
        <is>
          <t>in_debt_c3_exit_fee_pct</t>
        </is>
      </c>
      <c r="B98" t="inlineStr">
        <is>
          <t>Investor Waterfall</t>
        </is>
      </c>
      <c r="C98" t="inlineStr">
        <is>
          <t>$H$22</t>
        </is>
      </c>
      <c r="D98" t="inlineStr">
        <is>
          <t>input</t>
        </is>
      </c>
      <c r="E98" t="inlineStr">
        <is>
          <t>pct</t>
        </is>
      </c>
      <c r="F98">
        <f>in_debt_c3_exit_fee_pct</f>
        <v/>
      </c>
      <c r="G98" t="inlineStr">
        <is>
          <t>c3 loan — Exit Fee %</t>
        </is>
      </c>
    </row>
    <row r="99">
      <c r="A99" s="98" t="inlineStr">
        <is>
          <t>in_debt_c3_fixed_rate</t>
        </is>
      </c>
      <c r="B99" t="inlineStr">
        <is>
          <t>Summary &amp; Assumptions</t>
        </is>
      </c>
      <c r="C99" t="inlineStr">
        <is>
          <t>$H$40</t>
        </is>
      </c>
      <c r="D99" t="inlineStr">
        <is>
          <t>input</t>
        </is>
      </c>
      <c r="E99" t="inlineStr">
        <is>
          <t>pct</t>
        </is>
      </c>
      <c r="F99">
        <f>in_debt_c3_fixed_rate</f>
        <v/>
      </c>
      <c r="G99" t="inlineStr">
        <is>
          <t>Custom 2 loan — Fixed Rate</t>
        </is>
      </c>
    </row>
    <row r="100">
      <c r="A100" s="98" t="inlineStr">
        <is>
          <t>in_debt_c3_floor</t>
        </is>
      </c>
      <c r="B100" t="inlineStr">
        <is>
          <t>Summary &amp; Assumptions</t>
        </is>
      </c>
      <c r="C100" t="inlineStr">
        <is>
          <t>$H$43</t>
        </is>
      </c>
      <c r="D100" t="inlineStr">
        <is>
          <t>input</t>
        </is>
      </c>
      <c r="E100" t="inlineStr">
        <is>
          <t>pct</t>
        </is>
      </c>
      <c r="F100">
        <f>in_debt_c3_floor</f>
        <v/>
      </c>
      <c r="G100" t="inlineStr">
        <is>
          <t>Custom 2 loan — Rate Floor</t>
        </is>
      </c>
    </row>
    <row r="101">
      <c r="A101" s="98" t="inlineStr">
        <is>
          <t>in_debt_c3_include</t>
        </is>
      </c>
      <c r="B101" t="inlineStr">
        <is>
          <t>Summary &amp; Assumptions</t>
        </is>
      </c>
      <c r="C101" t="inlineStr">
        <is>
          <t>$H$31</t>
        </is>
      </c>
      <c r="D101" t="inlineStr">
        <is>
          <t>input</t>
        </is>
      </c>
      <c r="E101" t="inlineStr">
        <is>
          <t>enum</t>
        </is>
      </c>
      <c r="F101">
        <f>in_debt_c3_include</f>
        <v/>
      </c>
      <c r="G101" t="inlineStr">
        <is>
          <t>Custom 2 loan — Include?</t>
        </is>
      </c>
    </row>
    <row r="102">
      <c r="A102" s="98" t="inlineStr">
        <is>
          <t>in_debt_c3_index</t>
        </is>
      </c>
      <c r="B102" t="inlineStr">
        <is>
          <t>Summary &amp; Assumptions</t>
        </is>
      </c>
      <c r="C102" t="inlineStr">
        <is>
          <t>$H$41</t>
        </is>
      </c>
      <c r="D102" t="inlineStr">
        <is>
          <t>input</t>
        </is>
      </c>
      <c r="E102" t="inlineStr">
        <is>
          <t>enum</t>
        </is>
      </c>
      <c r="F102">
        <f>in_debt_c3_index</f>
        <v/>
      </c>
      <c r="G102" t="inlineStr">
        <is>
          <t>Custom 2 loan — Index</t>
        </is>
      </c>
    </row>
    <row r="103">
      <c r="A103" s="98" t="inlineStr">
        <is>
          <t>in_debt_c3_int_reserve</t>
        </is>
      </c>
      <c r="B103" t="inlineStr">
        <is>
          <t>Investor Waterfall</t>
        </is>
      </c>
      <c r="C103" t="inlineStr">
        <is>
          <t>$H$25</t>
        </is>
      </c>
      <c r="D103" t="inlineStr">
        <is>
          <t>input</t>
        </is>
      </c>
      <c r="E103" t="inlineStr">
        <is>
          <t>currency</t>
        </is>
      </c>
      <c r="F103">
        <f>in_debt_c3_int_reserve</f>
        <v/>
      </c>
      <c r="G103" t="inlineStr">
        <is>
          <t>c3 loan — Interest Reserve $</t>
        </is>
      </c>
    </row>
    <row r="104">
      <c r="A104" s="98" t="inlineStr">
        <is>
          <t>in_debt_c3_io_years</t>
        </is>
      </c>
      <c r="B104" t="inlineStr">
        <is>
          <t>Summary &amp; Assumptions</t>
        </is>
      </c>
      <c r="C104" t="inlineStr">
        <is>
          <t>$H$47</t>
        </is>
      </c>
      <c r="D104" t="inlineStr">
        <is>
          <t>input</t>
        </is>
      </c>
      <c r="E104" t="inlineStr">
        <is>
          <t>int</t>
        </is>
      </c>
      <c r="F104">
        <f>in_debt_c3_io_years</f>
        <v/>
      </c>
      <c r="G104" t="inlineStr">
        <is>
          <t>Custom 2 loan — IO Period (years)</t>
        </is>
      </c>
    </row>
    <row r="105">
      <c r="A105" s="98" t="inlineStr">
        <is>
          <t>in_debt_c3_ltv</t>
        </is>
      </c>
      <c r="B105" t="inlineStr">
        <is>
          <t>Summary &amp; Assumptions</t>
        </is>
      </c>
      <c r="C105" t="inlineStr">
        <is>
          <t>$H$35</t>
        </is>
      </c>
      <c r="D105" t="inlineStr">
        <is>
          <t>input</t>
        </is>
      </c>
      <c r="E105" t="inlineStr">
        <is>
          <t>pct</t>
        </is>
      </c>
      <c r="F105">
        <f>in_debt_c3_ltv</f>
        <v/>
      </c>
      <c r="G105" t="inlineStr">
        <is>
          <t>Custom 2 loan — LTV (% of price)</t>
        </is>
      </c>
    </row>
    <row r="106">
      <c r="A106" s="98" t="inlineStr">
        <is>
          <t>in_debt_c3_orig_fee_pct</t>
        </is>
      </c>
      <c r="B106" t="inlineStr">
        <is>
          <t>Summary &amp; Assumptions</t>
        </is>
      </c>
      <c r="C106" t="inlineStr">
        <is>
          <t>$H$49</t>
        </is>
      </c>
      <c r="D106" t="inlineStr">
        <is>
          <t>input</t>
        </is>
      </c>
      <c r="E106" t="inlineStr">
        <is>
          <t>pct</t>
        </is>
      </c>
      <c r="F106">
        <f>in_debt_c3_orig_fee_pct</f>
        <v/>
      </c>
      <c r="G106" t="inlineStr">
        <is>
          <t>Custom 2 loan — Origination Fee %</t>
        </is>
      </c>
    </row>
    <row r="107">
      <c r="A107" s="98" t="inlineStr">
        <is>
          <t>in_debt_c3_orig_fee_usd</t>
        </is>
      </c>
      <c r="B107" t="inlineStr">
        <is>
          <t>Investor Waterfall</t>
        </is>
      </c>
      <c r="C107" t="inlineStr">
        <is>
          <t>$H$21</t>
        </is>
      </c>
      <c r="D107" t="inlineStr">
        <is>
          <t>input</t>
        </is>
      </c>
      <c r="E107" t="inlineStr">
        <is>
          <t>currency</t>
        </is>
      </c>
      <c r="F107">
        <f>in_debt_c3_orig_fee_usd</f>
        <v/>
      </c>
      <c r="G107" t="inlineStr">
        <is>
          <t>c3 loan — Origination Fee $</t>
        </is>
      </c>
    </row>
    <row r="108">
      <c r="A108" s="98" t="inlineStr">
        <is>
          <t>in_debt_c3_prepay_usd</t>
        </is>
      </c>
      <c r="B108" t="inlineStr">
        <is>
          <t>Investor Waterfall</t>
        </is>
      </c>
      <c r="C108" t="inlineStr">
        <is>
          <t>$H$23</t>
        </is>
      </c>
      <c r="D108" t="inlineStr">
        <is>
          <t>input</t>
        </is>
      </c>
      <c r="E108" t="inlineStr">
        <is>
          <t>currency</t>
        </is>
      </c>
      <c r="F108">
        <f>in_debt_c3_prepay_usd</f>
        <v/>
      </c>
      <c r="G108" t="inlineStr">
        <is>
          <t>c3 loan — Prepayment Penalty $</t>
        </is>
      </c>
    </row>
    <row r="109">
      <c r="A109" s="98" t="inlineStr">
        <is>
          <t>in_debt_c3_rate_type</t>
        </is>
      </c>
      <c r="B109" t="inlineStr">
        <is>
          <t>Summary &amp; Assumptions</t>
        </is>
      </c>
      <c r="C109" t="inlineStr">
        <is>
          <t>$H$39</t>
        </is>
      </c>
      <c r="D109" t="inlineStr">
        <is>
          <t>input</t>
        </is>
      </c>
      <c r="E109" t="inlineStr">
        <is>
          <t>enum</t>
        </is>
      </c>
      <c r="F109">
        <f>in_debt_c3_rate_type</f>
        <v/>
      </c>
      <c r="G109" t="inlineStr">
        <is>
          <t>Custom 2 loan — Rate Type</t>
        </is>
      </c>
    </row>
    <row r="110">
      <c r="A110" s="98" t="inlineStr">
        <is>
          <t>in_debt_c3_reno_draw</t>
        </is>
      </c>
      <c r="B110" t="inlineStr">
        <is>
          <t>Investor Waterfall</t>
        </is>
      </c>
      <c r="C110" t="inlineStr">
        <is>
          <t>$H$24</t>
        </is>
      </c>
      <c r="D110" t="inlineStr">
        <is>
          <t>input</t>
        </is>
      </c>
      <c r="E110" t="inlineStr">
        <is>
          <t>currency</t>
        </is>
      </c>
      <c r="F110">
        <f>in_debt_c3_reno_draw</f>
        <v/>
      </c>
      <c r="G110" t="inlineStr">
        <is>
          <t>c3 loan — Reno Draw Facility $</t>
        </is>
      </c>
    </row>
    <row r="111">
      <c r="A111" s="98" t="inlineStr">
        <is>
          <t>in_debt_c3_sizing</t>
        </is>
      </c>
      <c r="B111" t="inlineStr">
        <is>
          <t>Summary &amp; Assumptions</t>
        </is>
      </c>
      <c r="C111" t="inlineStr">
        <is>
          <t>$H$32</t>
        </is>
      </c>
      <c r="D111" t="inlineStr">
        <is>
          <t>input</t>
        </is>
      </c>
      <c r="E111" t="inlineStr">
        <is>
          <t>enum</t>
        </is>
      </c>
      <c r="F111">
        <f>in_debt_c3_sizing</f>
        <v/>
      </c>
      <c r="G111" t="inlineStr">
        <is>
          <t>Custom 2 loan — Sizing Method</t>
        </is>
      </c>
    </row>
    <row r="112">
      <c r="A112" s="98" t="inlineStr">
        <is>
          <t>in_debt_c3_spread</t>
        </is>
      </c>
      <c r="B112" t="inlineStr">
        <is>
          <t>Summary &amp; Assumptions</t>
        </is>
      </c>
      <c r="C112" t="inlineStr">
        <is>
          <t>$H$42</t>
        </is>
      </c>
      <c r="D112" t="inlineStr">
        <is>
          <t>input</t>
        </is>
      </c>
      <c r="E112" t="inlineStr">
        <is>
          <t>pct</t>
        </is>
      </c>
      <c r="F112">
        <f>in_debt_c3_spread</f>
        <v/>
      </c>
      <c r="G112" t="inlineStr">
        <is>
          <t>Custom 2 loan — Spread</t>
        </is>
      </c>
    </row>
    <row r="113">
      <c r="A113" s="98" t="inlineStr">
        <is>
          <t>in_debt_c3_start_year</t>
        </is>
      </c>
      <c r="B113" t="inlineStr">
        <is>
          <t>Summary &amp; Assumptions</t>
        </is>
      </c>
      <c r="C113" t="inlineStr">
        <is>
          <t>$H$37</t>
        </is>
      </c>
      <c r="D113" t="inlineStr">
        <is>
          <t>input</t>
        </is>
      </c>
      <c r="E113" t="inlineStr">
        <is>
          <t>int</t>
        </is>
      </c>
      <c r="F113">
        <f>in_debt_c3_start_year</f>
        <v/>
      </c>
      <c r="G113" t="inlineStr">
        <is>
          <t>Custom 2 loan — Start Year (0 = close)</t>
        </is>
      </c>
    </row>
    <row r="114">
      <c r="A114" s="98" t="inlineStr">
        <is>
          <t>in_debt_c3_structure</t>
        </is>
      </c>
      <c r="B114" t="inlineStr">
        <is>
          <t>Summary &amp; Assumptions</t>
        </is>
      </c>
      <c r="C114" t="inlineStr">
        <is>
          <t>$H$46</t>
        </is>
      </c>
      <c r="D114" t="inlineStr">
        <is>
          <t>input</t>
        </is>
      </c>
      <c r="E114" t="inlineStr">
        <is>
          <t>enum</t>
        </is>
      </c>
      <c r="F114">
        <f>in_debt_c3_structure</f>
        <v/>
      </c>
      <c r="G114" t="inlineStr">
        <is>
          <t>Custom 2 loan — Structure</t>
        </is>
      </c>
      <c r="H114" s="95" t="inlineStr">
        <is>
          <t>'=IF(H47=0,"Amortizing","IO then Amortizing")</t>
        </is>
      </c>
    </row>
    <row r="115">
      <c r="A115" s="98" t="inlineStr">
        <is>
          <t>in_debt_c3_term</t>
        </is>
      </c>
      <c r="B115" t="inlineStr">
        <is>
          <t>Summary &amp; Assumptions</t>
        </is>
      </c>
      <c r="C115" t="inlineStr">
        <is>
          <t>$H$38</t>
        </is>
      </c>
      <c r="D115" t="inlineStr">
        <is>
          <t>input</t>
        </is>
      </c>
      <c r="E115" t="inlineStr">
        <is>
          <t>int</t>
        </is>
      </c>
      <c r="F115">
        <f>in_debt_c3_term</f>
        <v/>
      </c>
      <c r="G115" t="inlineStr">
        <is>
          <t>Custom 2 loan — Term (years)</t>
        </is>
      </c>
    </row>
    <row r="116">
      <c r="A116" s="98" t="inlineStr">
        <is>
          <t>in_debt_mezz_amort_years</t>
        </is>
      </c>
      <c r="B116" t="inlineStr">
        <is>
          <t>Summary &amp; Assumptions</t>
        </is>
      </c>
      <c r="C116" t="inlineStr">
        <is>
          <t>$D$48</t>
        </is>
      </c>
      <c r="D116" t="inlineStr">
        <is>
          <t>input</t>
        </is>
      </c>
      <c r="E116" t="inlineStr">
        <is>
          <t>int</t>
        </is>
      </c>
      <c r="F116">
        <f>in_debt_mezz_amort_years</f>
        <v/>
      </c>
      <c r="G116" t="inlineStr">
        <is>
          <t>Mezz loan — Amortization (years)</t>
        </is>
      </c>
    </row>
    <row r="117">
      <c r="A117" s="98" t="inlineStr">
        <is>
          <t>in_debt_mezz_amount</t>
        </is>
      </c>
      <c r="B117" t="inlineStr">
        <is>
          <t>Summary &amp; Assumptions</t>
        </is>
      </c>
      <c r="C117" t="inlineStr">
        <is>
          <t>$D$33</t>
        </is>
      </c>
      <c r="D117" t="inlineStr">
        <is>
          <t>input</t>
        </is>
      </c>
      <c r="E117" t="inlineStr">
        <is>
          <t>currency</t>
        </is>
      </c>
      <c r="F117">
        <f>in_debt_mezz_amount</f>
        <v/>
      </c>
      <c r="G117" t="inlineStr">
        <is>
          <t>Mezz loan — Loan Amount (used only when Sizing Method = Loan Amount)</t>
        </is>
      </c>
    </row>
    <row r="118">
      <c r="A118" s="98" t="inlineStr">
        <is>
          <t>in_debt_mezz_apply_proceeds</t>
        </is>
      </c>
      <c r="B118" t="inlineStr">
        <is>
          <t>Investor Waterfall</t>
        </is>
      </c>
      <c r="C118" t="inlineStr">
        <is>
          <t>$D$26</t>
        </is>
      </c>
      <c r="D118" t="inlineStr">
        <is>
          <t>input</t>
        </is>
      </c>
      <c r="E118" t="inlineStr">
        <is>
          <t>enum</t>
        </is>
      </c>
      <c r="F118">
        <f>in_debt_mezz_apply_proceeds</f>
        <v/>
      </c>
      <c r="G118" t="inlineStr">
        <is>
          <t>mezz loan — Apply Refi Proceeds</t>
        </is>
      </c>
    </row>
    <row r="119">
      <c r="A119" s="98" t="inlineStr">
        <is>
          <t>in_debt_mezz_cap</t>
        </is>
      </c>
      <c r="B119" t="inlineStr">
        <is>
          <t>Summary &amp; Assumptions</t>
        </is>
      </c>
      <c r="C119" t="inlineStr">
        <is>
          <t>$D$44</t>
        </is>
      </c>
      <c r="D119" t="inlineStr">
        <is>
          <t>input</t>
        </is>
      </c>
      <c r="E119" t="inlineStr">
        <is>
          <t>pct</t>
        </is>
      </c>
      <c r="F119">
        <f>in_debt_mezz_cap</f>
        <v/>
      </c>
      <c r="G119" t="inlineStr">
        <is>
          <t>Mezz loan — Rate Cap</t>
        </is>
      </c>
    </row>
    <row r="120">
      <c r="A120" s="98" t="inlineStr">
        <is>
          <t>in_debt_mezz_cap_cost</t>
        </is>
      </c>
      <c r="B120" t="inlineStr">
        <is>
          <t>Summary &amp; Assumptions</t>
        </is>
      </c>
      <c r="C120" t="inlineStr">
        <is>
          <t>$D$45</t>
        </is>
      </c>
      <c r="D120" t="inlineStr">
        <is>
          <t>input</t>
        </is>
      </c>
      <c r="E120" t="inlineStr">
        <is>
          <t>currency</t>
        </is>
      </c>
      <c r="F120">
        <f>in_debt_mezz_cap_cost</f>
        <v/>
      </c>
      <c r="G120" t="inlineStr">
        <is>
          <t>Mezz loan — Rate Cap Cost ($)</t>
        </is>
      </c>
    </row>
    <row r="121">
      <c r="A121" s="98" t="inlineStr">
        <is>
          <t>in_debt_mezz_dscr_min</t>
        </is>
      </c>
      <c r="B121" t="inlineStr">
        <is>
          <t>Summary &amp; Assumptions</t>
        </is>
      </c>
      <c r="C121" t="inlineStr">
        <is>
          <t>$D$36</t>
        </is>
      </c>
      <c r="D121" t="inlineStr">
        <is>
          <t>input</t>
        </is>
      </c>
      <c r="E121" t="inlineStr">
        <is>
          <t>float</t>
        </is>
      </c>
      <c r="F121">
        <f>in_debt_mezz_dscr_min</f>
        <v/>
      </c>
      <c r="G121" t="inlineStr">
        <is>
          <t>Mezz loan — Min DSCR Constraint (on NOI excl. renovation)</t>
        </is>
      </c>
    </row>
    <row r="122">
      <c r="A122" s="98" t="inlineStr">
        <is>
          <t>in_debt_mezz_exit_fee_pct</t>
        </is>
      </c>
      <c r="B122" t="inlineStr">
        <is>
          <t>Investor Waterfall</t>
        </is>
      </c>
      <c r="C122" t="inlineStr">
        <is>
          <t>$D$22</t>
        </is>
      </c>
      <c r="D122" t="inlineStr">
        <is>
          <t>input</t>
        </is>
      </c>
      <c r="E122" t="inlineStr">
        <is>
          <t>pct</t>
        </is>
      </c>
      <c r="F122">
        <f>in_debt_mezz_exit_fee_pct</f>
        <v/>
      </c>
      <c r="G122" t="inlineStr">
        <is>
          <t>mezz loan — Exit Fee %</t>
        </is>
      </c>
    </row>
    <row r="123">
      <c r="A123" s="98" t="inlineStr">
        <is>
          <t>in_debt_mezz_fixed_rate</t>
        </is>
      </c>
      <c r="B123" t="inlineStr">
        <is>
          <t>Summary &amp; Assumptions</t>
        </is>
      </c>
      <c r="C123" t="inlineStr">
        <is>
          <t>$D$40</t>
        </is>
      </c>
      <c r="D123" t="inlineStr">
        <is>
          <t>input</t>
        </is>
      </c>
      <c r="E123" t="inlineStr">
        <is>
          <t>pct</t>
        </is>
      </c>
      <c r="F123">
        <f>in_debt_mezz_fixed_rate</f>
        <v/>
      </c>
      <c r="G123" t="inlineStr">
        <is>
          <t>Mezz loan — Fixed Rate</t>
        </is>
      </c>
    </row>
    <row r="124">
      <c r="A124" s="98" t="inlineStr">
        <is>
          <t>in_debt_mezz_floor</t>
        </is>
      </c>
      <c r="B124" t="inlineStr">
        <is>
          <t>Summary &amp; Assumptions</t>
        </is>
      </c>
      <c r="C124" t="inlineStr">
        <is>
          <t>$D$43</t>
        </is>
      </c>
      <c r="D124" t="inlineStr">
        <is>
          <t>input</t>
        </is>
      </c>
      <c r="E124" t="inlineStr">
        <is>
          <t>pct</t>
        </is>
      </c>
      <c r="F124">
        <f>in_debt_mezz_floor</f>
        <v/>
      </c>
      <c r="G124" t="inlineStr">
        <is>
          <t>Mezz loan — Rate Floor</t>
        </is>
      </c>
    </row>
    <row r="125">
      <c r="A125" s="98" t="inlineStr">
        <is>
          <t>in_debt_mezz_include</t>
        </is>
      </c>
      <c r="B125" t="inlineStr">
        <is>
          <t>Summary &amp; Assumptions</t>
        </is>
      </c>
      <c r="C125" t="inlineStr">
        <is>
          <t>$D$31</t>
        </is>
      </c>
      <c r="D125" t="inlineStr">
        <is>
          <t>input</t>
        </is>
      </c>
      <c r="E125" t="inlineStr">
        <is>
          <t>enum</t>
        </is>
      </c>
      <c r="F125">
        <f>in_debt_mezz_include</f>
        <v/>
      </c>
      <c r="G125" t="inlineStr">
        <is>
          <t>Mezz loan — Include?</t>
        </is>
      </c>
    </row>
    <row r="126">
      <c r="A126" s="98" t="inlineStr">
        <is>
          <t>in_debt_mezz_index</t>
        </is>
      </c>
      <c r="B126" t="inlineStr">
        <is>
          <t>Summary &amp; Assumptions</t>
        </is>
      </c>
      <c r="C126" t="inlineStr">
        <is>
          <t>$D$41</t>
        </is>
      </c>
      <c r="D126" t="inlineStr">
        <is>
          <t>input</t>
        </is>
      </c>
      <c r="E126" t="inlineStr">
        <is>
          <t>enum</t>
        </is>
      </c>
      <c r="F126">
        <f>in_debt_mezz_index</f>
        <v/>
      </c>
      <c r="G126" t="inlineStr">
        <is>
          <t>Mezz loan — Index</t>
        </is>
      </c>
    </row>
    <row r="127">
      <c r="A127" s="98" t="inlineStr">
        <is>
          <t>in_debt_mezz_int_reserve</t>
        </is>
      </c>
      <c r="B127" t="inlineStr">
        <is>
          <t>Investor Waterfall</t>
        </is>
      </c>
      <c r="C127" t="inlineStr">
        <is>
          <t>$D$25</t>
        </is>
      </c>
      <c r="D127" t="inlineStr">
        <is>
          <t>input</t>
        </is>
      </c>
      <c r="E127" t="inlineStr">
        <is>
          <t>currency</t>
        </is>
      </c>
      <c r="F127">
        <f>in_debt_mezz_int_reserve</f>
        <v/>
      </c>
      <c r="G127" t="inlineStr">
        <is>
          <t>mezz loan — Interest Reserve $</t>
        </is>
      </c>
    </row>
    <row r="128">
      <c r="A128" s="98" t="inlineStr">
        <is>
          <t>in_debt_mezz_io_years</t>
        </is>
      </c>
      <c r="B128" t="inlineStr">
        <is>
          <t>Summary &amp; Assumptions</t>
        </is>
      </c>
      <c r="C128" t="inlineStr">
        <is>
          <t>$D$47</t>
        </is>
      </c>
      <c r="D128" t="inlineStr">
        <is>
          <t>input</t>
        </is>
      </c>
      <c r="E128" t="inlineStr">
        <is>
          <t>int</t>
        </is>
      </c>
      <c r="F128">
        <f>in_debt_mezz_io_years</f>
        <v/>
      </c>
      <c r="G128" t="inlineStr">
        <is>
          <t>Mezz loan — IO Period (years)</t>
        </is>
      </c>
    </row>
    <row r="129">
      <c r="A129" s="98" t="inlineStr">
        <is>
          <t>in_debt_mezz_ltv</t>
        </is>
      </c>
      <c r="B129" t="inlineStr">
        <is>
          <t>Summary &amp; Assumptions</t>
        </is>
      </c>
      <c r="C129" t="inlineStr">
        <is>
          <t>$D$35</t>
        </is>
      </c>
      <c r="D129" t="inlineStr">
        <is>
          <t>input</t>
        </is>
      </c>
      <c r="E129" t="inlineStr">
        <is>
          <t>pct</t>
        </is>
      </c>
      <c r="F129">
        <f>in_debt_mezz_ltv</f>
        <v/>
      </c>
      <c r="G129" t="inlineStr">
        <is>
          <t>Mezz loan — LTV (% of price)</t>
        </is>
      </c>
    </row>
    <row r="130">
      <c r="A130" s="98" t="inlineStr">
        <is>
          <t>in_debt_mezz_orig_fee_pct</t>
        </is>
      </c>
      <c r="B130" t="inlineStr">
        <is>
          <t>Summary &amp; Assumptions</t>
        </is>
      </c>
      <c r="C130" t="inlineStr">
        <is>
          <t>$D$49</t>
        </is>
      </c>
      <c r="D130" t="inlineStr">
        <is>
          <t>input</t>
        </is>
      </c>
      <c r="E130" t="inlineStr">
        <is>
          <t>pct</t>
        </is>
      </c>
      <c r="F130">
        <f>in_debt_mezz_orig_fee_pct</f>
        <v/>
      </c>
      <c r="G130" t="inlineStr">
        <is>
          <t>Mezz loan — Origination Fee %</t>
        </is>
      </c>
    </row>
    <row r="131">
      <c r="A131" s="98" t="inlineStr">
        <is>
          <t>in_debt_mezz_orig_fee_usd</t>
        </is>
      </c>
      <c r="B131" t="inlineStr">
        <is>
          <t>Investor Waterfall</t>
        </is>
      </c>
      <c r="C131" t="inlineStr">
        <is>
          <t>$D$21</t>
        </is>
      </c>
      <c r="D131" t="inlineStr">
        <is>
          <t>input</t>
        </is>
      </c>
      <c r="E131" t="inlineStr">
        <is>
          <t>currency</t>
        </is>
      </c>
      <c r="F131">
        <f>in_debt_mezz_orig_fee_usd</f>
        <v/>
      </c>
      <c r="G131" t="inlineStr">
        <is>
          <t>mezz loan — Origination Fee $</t>
        </is>
      </c>
    </row>
    <row r="132">
      <c r="A132" s="98" t="inlineStr">
        <is>
          <t>in_debt_mezz_prepay_usd</t>
        </is>
      </c>
      <c r="B132" t="inlineStr">
        <is>
          <t>Investor Waterfall</t>
        </is>
      </c>
      <c r="C132" t="inlineStr">
        <is>
          <t>$D$23</t>
        </is>
      </c>
      <c r="D132" t="inlineStr">
        <is>
          <t>input</t>
        </is>
      </c>
      <c r="E132" t="inlineStr">
        <is>
          <t>currency</t>
        </is>
      </c>
      <c r="F132">
        <f>in_debt_mezz_prepay_usd</f>
        <v/>
      </c>
      <c r="G132" t="inlineStr">
        <is>
          <t>mezz loan — Prepayment Penalty $</t>
        </is>
      </c>
    </row>
    <row r="133">
      <c r="A133" s="98" t="inlineStr">
        <is>
          <t>in_debt_mezz_rate_type</t>
        </is>
      </c>
      <c r="B133" t="inlineStr">
        <is>
          <t>Summary &amp; Assumptions</t>
        </is>
      </c>
      <c r="C133" t="inlineStr">
        <is>
          <t>$D$39</t>
        </is>
      </c>
      <c r="D133" t="inlineStr">
        <is>
          <t>input</t>
        </is>
      </c>
      <c r="E133" t="inlineStr">
        <is>
          <t>enum</t>
        </is>
      </c>
      <c r="F133">
        <f>in_debt_mezz_rate_type</f>
        <v/>
      </c>
      <c r="G133" t="inlineStr">
        <is>
          <t>Mezz loan — Rate Type</t>
        </is>
      </c>
    </row>
    <row r="134">
      <c r="A134" s="98" t="inlineStr">
        <is>
          <t>in_debt_mezz_reno_draw</t>
        </is>
      </c>
      <c r="B134" t="inlineStr">
        <is>
          <t>Investor Waterfall</t>
        </is>
      </c>
      <c r="C134" t="inlineStr">
        <is>
          <t>$D$24</t>
        </is>
      </c>
      <c r="D134" t="inlineStr">
        <is>
          <t>input</t>
        </is>
      </c>
      <c r="E134" t="inlineStr">
        <is>
          <t>currency</t>
        </is>
      </c>
      <c r="F134">
        <f>in_debt_mezz_reno_draw</f>
        <v/>
      </c>
      <c r="G134" t="inlineStr">
        <is>
          <t>mezz loan — Reno Draw Facility $</t>
        </is>
      </c>
    </row>
    <row r="135">
      <c r="A135" s="98" t="inlineStr">
        <is>
          <t>in_debt_mezz_sizing</t>
        </is>
      </c>
      <c r="B135" t="inlineStr">
        <is>
          <t>Summary &amp; Assumptions</t>
        </is>
      </c>
      <c r="C135" t="inlineStr">
        <is>
          <t>$D$32</t>
        </is>
      </c>
      <c r="D135" t="inlineStr">
        <is>
          <t>input</t>
        </is>
      </c>
      <c r="E135" t="inlineStr">
        <is>
          <t>enum</t>
        </is>
      </c>
      <c r="F135">
        <f>in_debt_mezz_sizing</f>
        <v/>
      </c>
      <c r="G135" t="inlineStr">
        <is>
          <t>Mezz loan — Sizing Method</t>
        </is>
      </c>
    </row>
    <row r="136">
      <c r="A136" s="98" t="inlineStr">
        <is>
          <t>in_debt_mezz_spread</t>
        </is>
      </c>
      <c r="B136" t="inlineStr">
        <is>
          <t>Summary &amp; Assumptions</t>
        </is>
      </c>
      <c r="C136" t="inlineStr">
        <is>
          <t>$D$42</t>
        </is>
      </c>
      <c r="D136" t="inlineStr">
        <is>
          <t>input</t>
        </is>
      </c>
      <c r="E136" t="inlineStr">
        <is>
          <t>pct</t>
        </is>
      </c>
      <c r="F136">
        <f>in_debt_mezz_spread</f>
        <v/>
      </c>
      <c r="G136" t="inlineStr">
        <is>
          <t>Mezz loan — Spread</t>
        </is>
      </c>
    </row>
    <row r="137">
      <c r="A137" s="98" t="inlineStr">
        <is>
          <t>in_debt_mezz_start_year</t>
        </is>
      </c>
      <c r="B137" t="inlineStr">
        <is>
          <t>Summary &amp; Assumptions</t>
        </is>
      </c>
      <c r="C137" t="inlineStr">
        <is>
          <t>$D$37</t>
        </is>
      </c>
      <c r="D137" t="inlineStr">
        <is>
          <t>input</t>
        </is>
      </c>
      <c r="E137" t="inlineStr">
        <is>
          <t>int</t>
        </is>
      </c>
      <c r="F137">
        <f>in_debt_mezz_start_year</f>
        <v/>
      </c>
      <c r="G137" t="inlineStr">
        <is>
          <t>Mezz loan — Start Year (0 = close)</t>
        </is>
      </c>
    </row>
    <row r="138">
      <c r="A138" s="98" t="inlineStr">
        <is>
          <t>in_debt_mezz_structure</t>
        </is>
      </c>
      <c r="B138" t="inlineStr">
        <is>
          <t>Summary &amp; Assumptions</t>
        </is>
      </c>
      <c r="C138" t="inlineStr">
        <is>
          <t>$D$46</t>
        </is>
      </c>
      <c r="D138" t="inlineStr">
        <is>
          <t>input</t>
        </is>
      </c>
      <c r="E138" t="inlineStr">
        <is>
          <t>enum</t>
        </is>
      </c>
      <c r="F138">
        <f>in_debt_mezz_structure</f>
        <v/>
      </c>
      <c r="G138" t="inlineStr">
        <is>
          <t>Mezz loan — Structure</t>
        </is>
      </c>
      <c r="H138" s="95" t="inlineStr">
        <is>
          <t>'=IF(D47=0,"Amortizing","IO then Amortizing")</t>
        </is>
      </c>
    </row>
    <row r="139">
      <c r="A139" s="98" t="inlineStr">
        <is>
          <t>in_debt_mezz_term</t>
        </is>
      </c>
      <c r="B139" t="inlineStr">
        <is>
          <t>Summary &amp; Assumptions</t>
        </is>
      </c>
      <c r="C139" t="inlineStr">
        <is>
          <t>$D$38</t>
        </is>
      </c>
      <c r="D139" t="inlineStr">
        <is>
          <t>input</t>
        </is>
      </c>
      <c r="E139" t="inlineStr">
        <is>
          <t>int</t>
        </is>
      </c>
      <c r="F139">
        <f>in_debt_mezz_term</f>
        <v/>
      </c>
      <c r="G139" t="inlineStr">
        <is>
          <t>Mezz loan — Term (years)</t>
        </is>
      </c>
    </row>
    <row r="140">
      <c r="A140" s="98" t="inlineStr">
        <is>
          <t>in_debt_refi_amort_years</t>
        </is>
      </c>
      <c r="B140" t="inlineStr">
        <is>
          <t>Summary &amp; Assumptions</t>
        </is>
      </c>
      <c r="C140" t="inlineStr">
        <is>
          <t>$E$48</t>
        </is>
      </c>
      <c r="D140" t="inlineStr">
        <is>
          <t>input</t>
        </is>
      </c>
      <c r="E140" t="inlineStr">
        <is>
          <t>int</t>
        </is>
      </c>
      <c r="F140">
        <f>in_debt_refi_amort_years</f>
        <v/>
      </c>
      <c r="G140" t="inlineStr">
        <is>
          <t>Refi loan — Amortization (years)</t>
        </is>
      </c>
    </row>
    <row r="141">
      <c r="A141" s="98" t="inlineStr">
        <is>
          <t>in_debt_refi_amount</t>
        </is>
      </c>
      <c r="B141" t="inlineStr">
        <is>
          <t>Summary &amp; Assumptions</t>
        </is>
      </c>
      <c r="C141" t="inlineStr">
        <is>
          <t>$E$33</t>
        </is>
      </c>
      <c r="D141" t="inlineStr">
        <is>
          <t>input</t>
        </is>
      </c>
      <c r="E141" t="inlineStr">
        <is>
          <t>currency</t>
        </is>
      </c>
      <c r="F141">
        <f>in_debt_refi_amount</f>
        <v/>
      </c>
      <c r="G141" t="inlineStr">
        <is>
          <t>Refi loan — Loan Amount (used only when Sizing Method = Loan Amount)</t>
        </is>
      </c>
    </row>
    <row r="142">
      <c r="A142" s="98" t="inlineStr">
        <is>
          <t>in_debt_refi_apply_proceeds</t>
        </is>
      </c>
      <c r="B142" t="inlineStr">
        <is>
          <t>Investor Waterfall</t>
        </is>
      </c>
      <c r="C142" t="inlineStr">
        <is>
          <t>$E$26</t>
        </is>
      </c>
      <c r="D142" t="inlineStr">
        <is>
          <t>input</t>
        </is>
      </c>
      <c r="E142" t="inlineStr">
        <is>
          <t>enum</t>
        </is>
      </c>
      <c r="F142">
        <f>in_debt_refi_apply_proceeds</f>
        <v/>
      </c>
      <c r="G142" t="inlineStr">
        <is>
          <t>refi loan — Apply Refi Proceeds</t>
        </is>
      </c>
    </row>
    <row r="143">
      <c r="A143" s="98" t="inlineStr">
        <is>
          <t>in_debt_refi_cap</t>
        </is>
      </c>
      <c r="B143" t="inlineStr">
        <is>
          <t>Summary &amp; Assumptions</t>
        </is>
      </c>
      <c r="C143" t="inlineStr">
        <is>
          <t>$E$44</t>
        </is>
      </c>
      <c r="D143" t="inlineStr">
        <is>
          <t>input</t>
        </is>
      </c>
      <c r="E143" t="inlineStr">
        <is>
          <t>pct</t>
        </is>
      </c>
      <c r="F143">
        <f>in_debt_refi_cap</f>
        <v/>
      </c>
      <c r="G143" t="inlineStr">
        <is>
          <t>Refi loan — Rate Cap</t>
        </is>
      </c>
    </row>
    <row r="144">
      <c r="A144" s="98" t="inlineStr">
        <is>
          <t>in_debt_refi_cap_cost</t>
        </is>
      </c>
      <c r="B144" t="inlineStr">
        <is>
          <t>Summary &amp; Assumptions</t>
        </is>
      </c>
      <c r="C144" t="inlineStr">
        <is>
          <t>$E$45</t>
        </is>
      </c>
      <c r="D144" t="inlineStr">
        <is>
          <t>input</t>
        </is>
      </c>
      <c r="E144" t="inlineStr">
        <is>
          <t>currency</t>
        </is>
      </c>
      <c r="F144">
        <f>in_debt_refi_cap_cost</f>
        <v/>
      </c>
      <c r="G144" t="inlineStr">
        <is>
          <t>Refi loan — Rate Cap Cost ($)</t>
        </is>
      </c>
    </row>
    <row r="145">
      <c r="A145" s="98" t="inlineStr">
        <is>
          <t>in_debt_refi_dscr_min</t>
        </is>
      </c>
      <c r="B145" t="inlineStr">
        <is>
          <t>Summary &amp; Assumptions</t>
        </is>
      </c>
      <c r="C145" t="inlineStr">
        <is>
          <t>$E$36</t>
        </is>
      </c>
      <c r="D145" t="inlineStr">
        <is>
          <t>input</t>
        </is>
      </c>
      <c r="E145" t="inlineStr">
        <is>
          <t>float</t>
        </is>
      </c>
      <c r="F145">
        <f>in_debt_refi_dscr_min</f>
        <v/>
      </c>
      <c r="G145" t="inlineStr">
        <is>
          <t>Refi loan — Min DSCR Constraint (on NOI excl. renovation)</t>
        </is>
      </c>
    </row>
    <row r="146">
      <c r="A146" s="98" t="inlineStr">
        <is>
          <t>in_debt_refi_exit_fee_pct</t>
        </is>
      </c>
      <c r="B146" t="inlineStr">
        <is>
          <t>Investor Waterfall</t>
        </is>
      </c>
      <c r="C146" t="inlineStr">
        <is>
          <t>$E$22</t>
        </is>
      </c>
      <c r="D146" t="inlineStr">
        <is>
          <t>input</t>
        </is>
      </c>
      <c r="E146" t="inlineStr">
        <is>
          <t>pct</t>
        </is>
      </c>
      <c r="F146">
        <f>in_debt_refi_exit_fee_pct</f>
        <v/>
      </c>
      <c r="G146" t="inlineStr">
        <is>
          <t>refi loan — Exit Fee %</t>
        </is>
      </c>
    </row>
    <row r="147">
      <c r="A147" s="98" t="inlineStr">
        <is>
          <t>in_debt_refi_fixed_rate</t>
        </is>
      </c>
      <c r="B147" t="inlineStr">
        <is>
          <t>Summary &amp; Assumptions</t>
        </is>
      </c>
      <c r="C147" t="inlineStr">
        <is>
          <t>$E$40</t>
        </is>
      </c>
      <c r="D147" t="inlineStr">
        <is>
          <t>input</t>
        </is>
      </c>
      <c r="E147" t="inlineStr">
        <is>
          <t>pct</t>
        </is>
      </c>
      <c r="F147">
        <f>in_debt_refi_fixed_rate</f>
        <v/>
      </c>
      <c r="G147" t="inlineStr">
        <is>
          <t>Refi loan — Fixed Rate</t>
        </is>
      </c>
    </row>
    <row r="148">
      <c r="A148" s="98" t="inlineStr">
        <is>
          <t>in_debt_refi_floor</t>
        </is>
      </c>
      <c r="B148" t="inlineStr">
        <is>
          <t>Summary &amp; Assumptions</t>
        </is>
      </c>
      <c r="C148" t="inlineStr">
        <is>
          <t>$E$43</t>
        </is>
      </c>
      <c r="D148" t="inlineStr">
        <is>
          <t>input</t>
        </is>
      </c>
      <c r="E148" t="inlineStr">
        <is>
          <t>pct</t>
        </is>
      </c>
      <c r="F148">
        <f>in_debt_refi_floor</f>
        <v/>
      </c>
      <c r="G148" t="inlineStr">
        <is>
          <t>Refi loan — Rate Floor</t>
        </is>
      </c>
    </row>
    <row r="149">
      <c r="A149" s="98" t="inlineStr">
        <is>
          <t>in_debt_refi_include</t>
        </is>
      </c>
      <c r="B149" t="inlineStr">
        <is>
          <t>Summary &amp; Assumptions</t>
        </is>
      </c>
      <c r="C149" t="inlineStr">
        <is>
          <t>$E$31</t>
        </is>
      </c>
      <c r="D149" t="inlineStr">
        <is>
          <t>input</t>
        </is>
      </c>
      <c r="E149" t="inlineStr">
        <is>
          <t>enum</t>
        </is>
      </c>
      <c r="F149">
        <f>in_debt_refi_include</f>
        <v/>
      </c>
      <c r="G149" t="inlineStr">
        <is>
          <t>Refi loan — Include?</t>
        </is>
      </c>
    </row>
    <row r="150">
      <c r="A150" s="98" t="inlineStr">
        <is>
          <t>in_debt_refi_index</t>
        </is>
      </c>
      <c r="B150" t="inlineStr">
        <is>
          <t>Summary &amp; Assumptions</t>
        </is>
      </c>
      <c r="C150" t="inlineStr">
        <is>
          <t>$E$41</t>
        </is>
      </c>
      <c r="D150" t="inlineStr">
        <is>
          <t>input</t>
        </is>
      </c>
      <c r="E150" t="inlineStr">
        <is>
          <t>enum</t>
        </is>
      </c>
      <c r="F150">
        <f>in_debt_refi_index</f>
        <v/>
      </c>
      <c r="G150" t="inlineStr">
        <is>
          <t>Refi loan — Index</t>
        </is>
      </c>
    </row>
    <row r="151">
      <c r="A151" s="98" t="inlineStr">
        <is>
          <t>in_debt_refi_int_reserve</t>
        </is>
      </c>
      <c r="B151" t="inlineStr">
        <is>
          <t>Investor Waterfall</t>
        </is>
      </c>
      <c r="C151" t="inlineStr">
        <is>
          <t>$E$25</t>
        </is>
      </c>
      <c r="D151" t="inlineStr">
        <is>
          <t>input</t>
        </is>
      </c>
      <c r="E151" t="inlineStr">
        <is>
          <t>currency</t>
        </is>
      </c>
      <c r="F151">
        <f>in_debt_refi_int_reserve</f>
        <v/>
      </c>
      <c r="G151" t="inlineStr">
        <is>
          <t>refi loan — Interest Reserve $</t>
        </is>
      </c>
    </row>
    <row r="152">
      <c r="A152" s="98" t="inlineStr">
        <is>
          <t>in_debt_refi_io_years</t>
        </is>
      </c>
      <c r="B152" t="inlineStr">
        <is>
          <t>Summary &amp; Assumptions</t>
        </is>
      </c>
      <c r="C152" t="inlineStr">
        <is>
          <t>$E$47</t>
        </is>
      </c>
      <c r="D152" t="inlineStr">
        <is>
          <t>input</t>
        </is>
      </c>
      <c r="E152" t="inlineStr">
        <is>
          <t>int</t>
        </is>
      </c>
      <c r="F152">
        <f>in_debt_refi_io_years</f>
        <v/>
      </c>
      <c r="G152" t="inlineStr">
        <is>
          <t>Refi loan — IO Period (years)</t>
        </is>
      </c>
    </row>
    <row r="153">
      <c r="A153" s="98" t="inlineStr">
        <is>
          <t>in_debt_refi_ltv</t>
        </is>
      </c>
      <c r="B153" t="inlineStr">
        <is>
          <t>Summary &amp; Assumptions</t>
        </is>
      </c>
      <c r="C153" t="inlineStr">
        <is>
          <t>$E$35</t>
        </is>
      </c>
      <c r="D153" t="inlineStr">
        <is>
          <t>input</t>
        </is>
      </c>
      <c r="E153" t="inlineStr">
        <is>
          <t>pct</t>
        </is>
      </c>
      <c r="F153">
        <f>in_debt_refi_ltv</f>
        <v/>
      </c>
      <c r="G153" t="inlineStr">
        <is>
          <t>Refi loan — LTV (% of price)</t>
        </is>
      </c>
    </row>
    <row r="154">
      <c r="A154" s="98" t="inlineStr">
        <is>
          <t>in_debt_refi_orig_fee_pct</t>
        </is>
      </c>
      <c r="B154" t="inlineStr">
        <is>
          <t>Summary &amp; Assumptions</t>
        </is>
      </c>
      <c r="C154" t="inlineStr">
        <is>
          <t>$E$49</t>
        </is>
      </c>
      <c r="D154" t="inlineStr">
        <is>
          <t>input</t>
        </is>
      </c>
      <c r="E154" t="inlineStr">
        <is>
          <t>pct</t>
        </is>
      </c>
      <c r="F154">
        <f>in_debt_refi_orig_fee_pct</f>
        <v/>
      </c>
      <c r="G154" t="inlineStr">
        <is>
          <t>Refi loan — Origination Fee %</t>
        </is>
      </c>
    </row>
    <row r="155">
      <c r="A155" s="98" t="inlineStr">
        <is>
          <t>in_debt_refi_orig_fee_usd</t>
        </is>
      </c>
      <c r="B155" t="inlineStr">
        <is>
          <t>Investor Waterfall</t>
        </is>
      </c>
      <c r="C155" t="inlineStr">
        <is>
          <t>$E$21</t>
        </is>
      </c>
      <c r="D155" t="inlineStr">
        <is>
          <t>input</t>
        </is>
      </c>
      <c r="E155" t="inlineStr">
        <is>
          <t>currency</t>
        </is>
      </c>
      <c r="F155">
        <f>in_debt_refi_orig_fee_usd</f>
        <v/>
      </c>
      <c r="G155" t="inlineStr">
        <is>
          <t>refi loan — Origination Fee $</t>
        </is>
      </c>
    </row>
    <row r="156">
      <c r="A156" s="98" t="inlineStr">
        <is>
          <t>in_debt_refi_prepay_usd</t>
        </is>
      </c>
      <c r="B156" t="inlineStr">
        <is>
          <t>Investor Waterfall</t>
        </is>
      </c>
      <c r="C156" t="inlineStr">
        <is>
          <t>$E$23</t>
        </is>
      </c>
      <c r="D156" t="inlineStr">
        <is>
          <t>input</t>
        </is>
      </c>
      <c r="E156" t="inlineStr">
        <is>
          <t>currency</t>
        </is>
      </c>
      <c r="F156">
        <f>in_debt_refi_prepay_usd</f>
        <v/>
      </c>
      <c r="G156" t="inlineStr">
        <is>
          <t>refi loan — Prepayment Penalty $</t>
        </is>
      </c>
    </row>
    <row r="157">
      <c r="A157" s="98" t="inlineStr">
        <is>
          <t>in_debt_refi_rate_type</t>
        </is>
      </c>
      <c r="B157" t="inlineStr">
        <is>
          <t>Summary &amp; Assumptions</t>
        </is>
      </c>
      <c r="C157" t="inlineStr">
        <is>
          <t>$E$39</t>
        </is>
      </c>
      <c r="D157" t="inlineStr">
        <is>
          <t>input</t>
        </is>
      </c>
      <c r="E157" t="inlineStr">
        <is>
          <t>enum</t>
        </is>
      </c>
      <c r="F157">
        <f>in_debt_refi_rate_type</f>
        <v/>
      </c>
      <c r="G157" t="inlineStr">
        <is>
          <t>Refi loan — Rate Type</t>
        </is>
      </c>
    </row>
    <row r="158">
      <c r="A158" s="98" t="inlineStr">
        <is>
          <t>in_debt_refi_reno_draw</t>
        </is>
      </c>
      <c r="B158" t="inlineStr">
        <is>
          <t>Investor Waterfall</t>
        </is>
      </c>
      <c r="C158" t="inlineStr">
        <is>
          <t>$E$24</t>
        </is>
      </c>
      <c r="D158" t="inlineStr">
        <is>
          <t>input</t>
        </is>
      </c>
      <c r="E158" t="inlineStr">
        <is>
          <t>currency</t>
        </is>
      </c>
      <c r="F158">
        <f>in_debt_refi_reno_draw</f>
        <v/>
      </c>
      <c r="G158" t="inlineStr">
        <is>
          <t>refi loan — Reno Draw Facility $</t>
        </is>
      </c>
    </row>
    <row r="159">
      <c r="A159" s="98" t="inlineStr">
        <is>
          <t>in_debt_refi_sizing</t>
        </is>
      </c>
      <c r="B159" t="inlineStr">
        <is>
          <t>Summary &amp; Assumptions</t>
        </is>
      </c>
      <c r="C159" t="inlineStr">
        <is>
          <t>$E$32</t>
        </is>
      </c>
      <c r="D159" t="inlineStr">
        <is>
          <t>input</t>
        </is>
      </c>
      <c r="E159" t="inlineStr">
        <is>
          <t>enum</t>
        </is>
      </c>
      <c r="F159">
        <f>in_debt_refi_sizing</f>
        <v/>
      </c>
      <c r="G159" t="inlineStr">
        <is>
          <t>Refi loan — Sizing Method</t>
        </is>
      </c>
    </row>
    <row r="160">
      <c r="A160" s="98" t="inlineStr">
        <is>
          <t>in_debt_refi_spread</t>
        </is>
      </c>
      <c r="B160" t="inlineStr">
        <is>
          <t>Summary &amp; Assumptions</t>
        </is>
      </c>
      <c r="C160" t="inlineStr">
        <is>
          <t>$E$42</t>
        </is>
      </c>
      <c r="D160" t="inlineStr">
        <is>
          <t>input</t>
        </is>
      </c>
      <c r="E160" t="inlineStr">
        <is>
          <t>pct</t>
        </is>
      </c>
      <c r="F160">
        <f>in_debt_refi_spread</f>
        <v/>
      </c>
      <c r="G160" t="inlineStr">
        <is>
          <t>Refi loan — Spread</t>
        </is>
      </c>
    </row>
    <row r="161">
      <c r="A161" s="98" t="inlineStr">
        <is>
          <t>in_debt_refi_start_year</t>
        </is>
      </c>
      <c r="B161" t="inlineStr">
        <is>
          <t>Summary &amp; Assumptions</t>
        </is>
      </c>
      <c r="C161" t="inlineStr">
        <is>
          <t>$E$37</t>
        </is>
      </c>
      <c r="D161" t="inlineStr">
        <is>
          <t>input</t>
        </is>
      </c>
      <c r="E161" t="inlineStr">
        <is>
          <t>int</t>
        </is>
      </c>
      <c r="F161">
        <f>in_debt_refi_start_year</f>
        <v/>
      </c>
      <c r="G161" t="inlineStr">
        <is>
          <t>Refi loan — Start Year (0 = close)</t>
        </is>
      </c>
    </row>
    <row r="162">
      <c r="A162" s="98" t="inlineStr">
        <is>
          <t>in_debt_refi_structure</t>
        </is>
      </c>
      <c r="B162" t="inlineStr">
        <is>
          <t>Summary &amp; Assumptions</t>
        </is>
      </c>
      <c r="C162" t="inlineStr">
        <is>
          <t>$E$46</t>
        </is>
      </c>
      <c r="D162" t="inlineStr">
        <is>
          <t>input</t>
        </is>
      </c>
      <c r="E162" t="inlineStr">
        <is>
          <t>enum</t>
        </is>
      </c>
      <c r="F162">
        <f>in_debt_refi_structure</f>
        <v/>
      </c>
      <c r="G162" t="inlineStr">
        <is>
          <t>Refi loan — Structure</t>
        </is>
      </c>
      <c r="H162" s="95" t="inlineStr">
        <is>
          <t>'=IF(E47=0,"Amortizing","IO then Amortizing")</t>
        </is>
      </c>
    </row>
    <row r="163">
      <c r="A163" s="98" t="inlineStr">
        <is>
          <t>in_debt_refi_term</t>
        </is>
      </c>
      <c r="B163" t="inlineStr">
        <is>
          <t>Summary &amp; Assumptions</t>
        </is>
      </c>
      <c r="C163" t="inlineStr">
        <is>
          <t>$E$38</t>
        </is>
      </c>
      <c r="D163" t="inlineStr">
        <is>
          <t>input</t>
        </is>
      </c>
      <c r="E163" t="inlineStr">
        <is>
          <t>int</t>
        </is>
      </c>
      <c r="F163">
        <f>in_debt_refi_term</f>
        <v/>
      </c>
      <c r="G163" t="inlineStr">
        <is>
          <t>Refi loan — Term (years)</t>
        </is>
      </c>
    </row>
    <row r="164">
      <c r="A164" s="98" t="inlineStr">
        <is>
          <t>in_debt_senior_amort_years</t>
        </is>
      </c>
      <c r="B164" t="inlineStr">
        <is>
          <t>Summary &amp; Assumptions</t>
        </is>
      </c>
      <c r="C164" t="inlineStr">
        <is>
          <t>$C$48</t>
        </is>
      </c>
      <c r="D164" t="inlineStr">
        <is>
          <t>input</t>
        </is>
      </c>
      <c r="E164" t="inlineStr">
        <is>
          <t>int</t>
        </is>
      </c>
      <c r="F164">
        <f>in_debt_senior_amort_years</f>
        <v/>
      </c>
      <c r="G164" t="inlineStr">
        <is>
          <t>Senior loan — Amortization (years)</t>
        </is>
      </c>
    </row>
    <row r="165">
      <c r="A165" s="98" t="inlineStr">
        <is>
          <t>in_debt_senior_amount</t>
        </is>
      </c>
      <c r="B165" t="inlineStr">
        <is>
          <t>Summary &amp; Assumptions</t>
        </is>
      </c>
      <c r="C165" t="inlineStr">
        <is>
          <t>$C$33</t>
        </is>
      </c>
      <c r="D165" t="inlineStr">
        <is>
          <t>input</t>
        </is>
      </c>
      <c r="E165" t="inlineStr">
        <is>
          <t>currency</t>
        </is>
      </c>
      <c r="F165">
        <f>in_debt_senior_amount</f>
        <v/>
      </c>
      <c r="G165" t="inlineStr">
        <is>
          <t>Senior loan — Loan Amount (used only when Sizing Method = Loan Amount)</t>
        </is>
      </c>
    </row>
    <row r="166">
      <c r="A166" s="98" t="inlineStr">
        <is>
          <t>in_debt_senior_apply_proceeds</t>
        </is>
      </c>
      <c r="B166" t="inlineStr">
        <is>
          <t>Investor Waterfall</t>
        </is>
      </c>
      <c r="C166" t="inlineStr">
        <is>
          <t>$C$26</t>
        </is>
      </c>
      <c r="D166" t="inlineStr">
        <is>
          <t>input</t>
        </is>
      </c>
      <c r="E166" t="inlineStr">
        <is>
          <t>enum</t>
        </is>
      </c>
      <c r="F166">
        <f>in_debt_senior_apply_proceeds</f>
        <v/>
      </c>
      <c r="G166" t="inlineStr">
        <is>
          <t>senior loan — Apply Refi Proceeds</t>
        </is>
      </c>
    </row>
    <row r="167">
      <c r="A167" s="98" t="inlineStr">
        <is>
          <t>in_debt_senior_cap</t>
        </is>
      </c>
      <c r="B167" t="inlineStr">
        <is>
          <t>Summary &amp; Assumptions</t>
        </is>
      </c>
      <c r="C167" t="inlineStr">
        <is>
          <t>$C$44</t>
        </is>
      </c>
      <c r="D167" t="inlineStr">
        <is>
          <t>input</t>
        </is>
      </c>
      <c r="E167" t="inlineStr">
        <is>
          <t>pct</t>
        </is>
      </c>
      <c r="F167">
        <f>in_debt_senior_cap</f>
        <v/>
      </c>
      <c r="G167" t="inlineStr">
        <is>
          <t>Senior loan — Rate Cap</t>
        </is>
      </c>
    </row>
    <row r="168">
      <c r="A168" s="98" t="inlineStr">
        <is>
          <t>in_debt_senior_cap_cost</t>
        </is>
      </c>
      <c r="B168" t="inlineStr">
        <is>
          <t>Summary &amp; Assumptions</t>
        </is>
      </c>
      <c r="C168" t="inlineStr">
        <is>
          <t>$C$45</t>
        </is>
      </c>
      <c r="D168" t="inlineStr">
        <is>
          <t>input</t>
        </is>
      </c>
      <c r="E168" t="inlineStr">
        <is>
          <t>currency</t>
        </is>
      </c>
      <c r="F168">
        <f>in_debt_senior_cap_cost</f>
        <v/>
      </c>
      <c r="G168" t="inlineStr">
        <is>
          <t>Senior loan — Rate Cap Cost ($)</t>
        </is>
      </c>
    </row>
    <row r="169">
      <c r="A169" s="98" t="inlineStr">
        <is>
          <t>in_debt_senior_dscr_min</t>
        </is>
      </c>
      <c r="B169" t="inlineStr">
        <is>
          <t>Summary &amp; Assumptions</t>
        </is>
      </c>
      <c r="C169" t="inlineStr">
        <is>
          <t>$C$36</t>
        </is>
      </c>
      <c r="D169" t="inlineStr">
        <is>
          <t>input</t>
        </is>
      </c>
      <c r="E169" t="inlineStr">
        <is>
          <t>float</t>
        </is>
      </c>
      <c r="F169">
        <f>in_debt_senior_dscr_min</f>
        <v/>
      </c>
      <c r="G169" t="inlineStr">
        <is>
          <t>Senior loan — Min DSCR Constraint (on NOI excl. renovation)</t>
        </is>
      </c>
    </row>
    <row r="170">
      <c r="A170" s="98" t="inlineStr">
        <is>
          <t>in_debt_senior_exit_fee_pct</t>
        </is>
      </c>
      <c r="B170" t="inlineStr">
        <is>
          <t>Investor Waterfall</t>
        </is>
      </c>
      <c r="C170" t="inlineStr">
        <is>
          <t>$C$22</t>
        </is>
      </c>
      <c r="D170" t="inlineStr">
        <is>
          <t>input</t>
        </is>
      </c>
      <c r="E170" t="inlineStr">
        <is>
          <t>pct</t>
        </is>
      </c>
      <c r="F170">
        <f>in_debt_senior_exit_fee_pct</f>
        <v/>
      </c>
      <c r="G170" t="inlineStr">
        <is>
          <t>senior loan — Exit Fee %</t>
        </is>
      </c>
    </row>
    <row r="171">
      <c r="A171" s="98" t="inlineStr">
        <is>
          <t>in_debt_senior_fixed_rate</t>
        </is>
      </c>
      <c r="B171" t="inlineStr">
        <is>
          <t>Summary &amp; Assumptions</t>
        </is>
      </c>
      <c r="C171" t="inlineStr">
        <is>
          <t>$C$40</t>
        </is>
      </c>
      <c r="D171" t="inlineStr">
        <is>
          <t>input</t>
        </is>
      </c>
      <c r="E171" t="inlineStr">
        <is>
          <t>pct</t>
        </is>
      </c>
      <c r="F171">
        <f>in_debt_senior_fixed_rate</f>
        <v/>
      </c>
      <c r="G171" t="inlineStr">
        <is>
          <t>Senior loan — Fixed Rate</t>
        </is>
      </c>
    </row>
    <row r="172">
      <c r="A172" s="98" t="inlineStr">
        <is>
          <t>in_debt_senior_floor</t>
        </is>
      </c>
      <c r="B172" t="inlineStr">
        <is>
          <t>Summary &amp; Assumptions</t>
        </is>
      </c>
      <c r="C172" t="inlineStr">
        <is>
          <t>$C$43</t>
        </is>
      </c>
      <c r="D172" t="inlineStr">
        <is>
          <t>input</t>
        </is>
      </c>
      <c r="E172" t="inlineStr">
        <is>
          <t>pct</t>
        </is>
      </c>
      <c r="F172">
        <f>in_debt_senior_floor</f>
        <v/>
      </c>
      <c r="G172" t="inlineStr">
        <is>
          <t>Senior loan — Rate Floor</t>
        </is>
      </c>
    </row>
    <row r="173">
      <c r="A173" s="98" t="inlineStr">
        <is>
          <t>in_debt_senior_include</t>
        </is>
      </c>
      <c r="B173" t="inlineStr">
        <is>
          <t>Summary &amp; Assumptions</t>
        </is>
      </c>
      <c r="C173" t="inlineStr">
        <is>
          <t>$C$31</t>
        </is>
      </c>
      <c r="D173" t="inlineStr">
        <is>
          <t>input</t>
        </is>
      </c>
      <c r="E173" t="inlineStr">
        <is>
          <t>enum</t>
        </is>
      </c>
      <c r="F173">
        <f>in_debt_senior_include</f>
        <v/>
      </c>
      <c r="G173" t="inlineStr">
        <is>
          <t>Senior loan — Include?</t>
        </is>
      </c>
      <c r="H173" s="95" t="inlineStr">
        <is>
          <t>'=IF('Summary &amp; Assumptions'!$F$31="Yes","No","Yes")</t>
        </is>
      </c>
    </row>
    <row r="174">
      <c r="A174" s="98" t="inlineStr">
        <is>
          <t>in_debt_senior_index</t>
        </is>
      </c>
      <c r="B174" t="inlineStr">
        <is>
          <t>Summary &amp; Assumptions</t>
        </is>
      </c>
      <c r="C174" t="inlineStr">
        <is>
          <t>$C$41</t>
        </is>
      </c>
      <c r="D174" t="inlineStr">
        <is>
          <t>input</t>
        </is>
      </c>
      <c r="E174" t="inlineStr">
        <is>
          <t>enum</t>
        </is>
      </c>
      <c r="F174">
        <f>in_debt_senior_index</f>
        <v/>
      </c>
      <c r="G174" t="inlineStr">
        <is>
          <t>Senior loan — Index</t>
        </is>
      </c>
    </row>
    <row r="175">
      <c r="A175" s="98" t="inlineStr">
        <is>
          <t>in_debt_senior_int_reserve</t>
        </is>
      </c>
      <c r="B175" t="inlineStr">
        <is>
          <t>Investor Waterfall</t>
        </is>
      </c>
      <c r="C175" t="inlineStr">
        <is>
          <t>$C$25</t>
        </is>
      </c>
      <c r="D175" t="inlineStr">
        <is>
          <t>input</t>
        </is>
      </c>
      <c r="E175" t="inlineStr">
        <is>
          <t>currency</t>
        </is>
      </c>
      <c r="F175">
        <f>in_debt_senior_int_reserve</f>
        <v/>
      </c>
      <c r="G175" t="inlineStr">
        <is>
          <t>senior loan — Interest Reserve $</t>
        </is>
      </c>
    </row>
    <row r="176">
      <c r="A176" s="98" t="inlineStr">
        <is>
          <t>in_debt_senior_io_years</t>
        </is>
      </c>
      <c r="B176" t="inlineStr">
        <is>
          <t>Summary &amp; Assumptions</t>
        </is>
      </c>
      <c r="C176" t="inlineStr">
        <is>
          <t>$C$47</t>
        </is>
      </c>
      <c r="D176" t="inlineStr">
        <is>
          <t>input</t>
        </is>
      </c>
      <c r="E176" t="inlineStr">
        <is>
          <t>int</t>
        </is>
      </c>
      <c r="F176">
        <f>in_debt_senior_io_years</f>
        <v/>
      </c>
      <c r="G176" t="inlineStr">
        <is>
          <t>Senior loan — IO Period (years)</t>
        </is>
      </c>
    </row>
    <row r="177">
      <c r="A177" s="98" t="inlineStr">
        <is>
          <t>in_debt_senior_ltv</t>
        </is>
      </c>
      <c r="B177" t="inlineStr">
        <is>
          <t>Summary &amp; Assumptions</t>
        </is>
      </c>
      <c r="C177" t="inlineStr">
        <is>
          <t>$C$35</t>
        </is>
      </c>
      <c r="D177" t="inlineStr">
        <is>
          <t>input</t>
        </is>
      </c>
      <c r="E177" t="inlineStr">
        <is>
          <t>pct</t>
        </is>
      </c>
      <c r="F177">
        <f>in_debt_senior_ltv</f>
        <v/>
      </c>
      <c r="G177" t="inlineStr">
        <is>
          <t>Senior loan — LTV (% of price)</t>
        </is>
      </c>
    </row>
    <row r="178">
      <c r="A178" s="98" t="inlineStr">
        <is>
          <t>in_debt_senior_orig_fee_pct</t>
        </is>
      </c>
      <c r="B178" t="inlineStr">
        <is>
          <t>Summary &amp; Assumptions</t>
        </is>
      </c>
      <c r="C178" t="inlineStr">
        <is>
          <t>$C$49</t>
        </is>
      </c>
      <c r="D178" t="inlineStr">
        <is>
          <t>input</t>
        </is>
      </c>
      <c r="E178" t="inlineStr">
        <is>
          <t>pct</t>
        </is>
      </c>
      <c r="F178">
        <f>in_debt_senior_orig_fee_pct</f>
        <v/>
      </c>
      <c r="G178" t="inlineStr">
        <is>
          <t>Senior loan — Origination Fee %</t>
        </is>
      </c>
    </row>
    <row r="179">
      <c r="A179" s="98" t="inlineStr">
        <is>
          <t>in_debt_senior_orig_fee_usd</t>
        </is>
      </c>
      <c r="B179" t="inlineStr">
        <is>
          <t>Investor Waterfall</t>
        </is>
      </c>
      <c r="C179" t="inlineStr">
        <is>
          <t>$C$21</t>
        </is>
      </c>
      <c r="D179" t="inlineStr">
        <is>
          <t>input</t>
        </is>
      </c>
      <c r="E179" t="inlineStr">
        <is>
          <t>currency</t>
        </is>
      </c>
      <c r="F179">
        <f>in_debt_senior_orig_fee_usd</f>
        <v/>
      </c>
      <c r="G179" t="inlineStr">
        <is>
          <t>senior loan — Origination Fee $</t>
        </is>
      </c>
    </row>
    <row r="180">
      <c r="A180" s="98" t="inlineStr">
        <is>
          <t>in_debt_senior_prepay_usd</t>
        </is>
      </c>
      <c r="B180" t="inlineStr">
        <is>
          <t>Investor Waterfall</t>
        </is>
      </c>
      <c r="C180" t="inlineStr">
        <is>
          <t>$C$23</t>
        </is>
      </c>
      <c r="D180" t="inlineStr">
        <is>
          <t>input</t>
        </is>
      </c>
      <c r="E180" t="inlineStr">
        <is>
          <t>currency</t>
        </is>
      </c>
      <c r="F180">
        <f>in_debt_senior_prepay_usd</f>
        <v/>
      </c>
      <c r="G180" t="inlineStr">
        <is>
          <t>senior loan — Prepayment Penalty $</t>
        </is>
      </c>
    </row>
    <row r="181">
      <c r="A181" s="98" t="inlineStr">
        <is>
          <t>in_debt_senior_rate_type</t>
        </is>
      </c>
      <c r="B181" t="inlineStr">
        <is>
          <t>Summary &amp; Assumptions</t>
        </is>
      </c>
      <c r="C181" t="inlineStr">
        <is>
          <t>$C$39</t>
        </is>
      </c>
      <c r="D181" t="inlineStr">
        <is>
          <t>input</t>
        </is>
      </c>
      <c r="E181" t="inlineStr">
        <is>
          <t>enum</t>
        </is>
      </c>
      <c r="F181">
        <f>in_debt_senior_rate_type</f>
        <v/>
      </c>
      <c r="G181" t="inlineStr">
        <is>
          <t>Senior loan — Rate Type</t>
        </is>
      </c>
    </row>
    <row r="182">
      <c r="A182" s="98" t="inlineStr">
        <is>
          <t>in_debt_senior_reno_draw</t>
        </is>
      </c>
      <c r="B182" t="inlineStr">
        <is>
          <t>Investor Waterfall</t>
        </is>
      </c>
      <c r="C182" t="inlineStr">
        <is>
          <t>$C$24</t>
        </is>
      </c>
      <c r="D182" t="inlineStr">
        <is>
          <t>input</t>
        </is>
      </c>
      <c r="E182" t="inlineStr">
        <is>
          <t>currency</t>
        </is>
      </c>
      <c r="F182">
        <f>in_debt_senior_reno_draw</f>
        <v/>
      </c>
      <c r="G182" t="inlineStr">
        <is>
          <t>senior loan — Reno Draw Facility $</t>
        </is>
      </c>
    </row>
    <row r="183">
      <c r="A183" s="98" t="inlineStr">
        <is>
          <t>in_debt_senior_sizing</t>
        </is>
      </c>
      <c r="B183" t="inlineStr">
        <is>
          <t>Summary &amp; Assumptions</t>
        </is>
      </c>
      <c r="C183" t="inlineStr">
        <is>
          <t>$C$32</t>
        </is>
      </c>
      <c r="D183" t="inlineStr">
        <is>
          <t>input</t>
        </is>
      </c>
      <c r="E183" t="inlineStr">
        <is>
          <t>enum</t>
        </is>
      </c>
      <c r="F183">
        <f>in_debt_senior_sizing</f>
        <v/>
      </c>
      <c r="G183" t="inlineStr">
        <is>
          <t>Senior loan — Sizing Method</t>
        </is>
      </c>
    </row>
    <row r="184">
      <c r="A184" s="98" t="inlineStr">
        <is>
          <t>in_debt_senior_spread</t>
        </is>
      </c>
      <c r="B184" t="inlineStr">
        <is>
          <t>Summary &amp; Assumptions</t>
        </is>
      </c>
      <c r="C184" t="inlineStr">
        <is>
          <t>$C$42</t>
        </is>
      </c>
      <c r="D184" t="inlineStr">
        <is>
          <t>input</t>
        </is>
      </c>
      <c r="E184" t="inlineStr">
        <is>
          <t>pct</t>
        </is>
      </c>
      <c r="F184">
        <f>in_debt_senior_spread</f>
        <v/>
      </c>
      <c r="G184" t="inlineStr">
        <is>
          <t>Senior loan — Spread</t>
        </is>
      </c>
    </row>
    <row r="185">
      <c r="A185" s="98" t="inlineStr">
        <is>
          <t>in_debt_senior_start_year</t>
        </is>
      </c>
      <c r="B185" t="inlineStr">
        <is>
          <t>Summary &amp; Assumptions</t>
        </is>
      </c>
      <c r="C185" t="inlineStr">
        <is>
          <t>$C$37</t>
        </is>
      </c>
      <c r="D185" t="inlineStr">
        <is>
          <t>input</t>
        </is>
      </c>
      <c r="E185" t="inlineStr">
        <is>
          <t>int</t>
        </is>
      </c>
      <c r="F185">
        <f>in_debt_senior_start_year</f>
        <v/>
      </c>
      <c r="G185" t="inlineStr">
        <is>
          <t>Senior loan — Start Year (0 = close)</t>
        </is>
      </c>
    </row>
    <row r="186">
      <c r="A186" s="98" t="inlineStr">
        <is>
          <t>in_debt_senior_structure</t>
        </is>
      </c>
      <c r="B186" t="inlineStr">
        <is>
          <t>Summary &amp; Assumptions</t>
        </is>
      </c>
      <c r="C186" t="inlineStr">
        <is>
          <t>$C$46</t>
        </is>
      </c>
      <c r="D186" t="inlineStr">
        <is>
          <t>input</t>
        </is>
      </c>
      <c r="E186" t="inlineStr">
        <is>
          <t>enum</t>
        </is>
      </c>
      <c r="F186">
        <f>in_debt_senior_structure</f>
        <v/>
      </c>
      <c r="G186" t="inlineStr">
        <is>
          <t>Senior loan — Structure</t>
        </is>
      </c>
      <c r="H186" s="95" t="inlineStr">
        <is>
          <t>'=IF(C47=0,"Amortizing","IO then Amortizing")</t>
        </is>
      </c>
    </row>
    <row r="187">
      <c r="A187" s="98" t="inlineStr">
        <is>
          <t>in_debt_senior_term</t>
        </is>
      </c>
      <c r="B187" t="inlineStr">
        <is>
          <t>Summary &amp; Assumptions</t>
        </is>
      </c>
      <c r="C187" t="inlineStr">
        <is>
          <t>$C$38</t>
        </is>
      </c>
      <c r="D187" t="inlineStr">
        <is>
          <t>input</t>
        </is>
      </c>
      <c r="E187" t="inlineStr">
        <is>
          <t>int</t>
        </is>
      </c>
      <c r="F187">
        <f>in_debt_senior_term</f>
        <v/>
      </c>
      <c r="G187" t="inlineStr">
        <is>
          <t>Senior loan — Term (years)</t>
        </is>
      </c>
    </row>
    <row r="188">
      <c r="A188" s="98" t="inlineStr">
        <is>
          <t>in_exit_basis</t>
        </is>
      </c>
      <c r="B188" t="inlineStr">
        <is>
          <t>Summary &amp; Assumptions</t>
        </is>
      </c>
      <c r="C188" t="inlineStr">
        <is>
          <t>$M$6</t>
        </is>
      </c>
      <c r="D188" t="inlineStr">
        <is>
          <t>input</t>
        </is>
      </c>
      <c r="E188" t="inlineStr">
        <is>
          <t>enum</t>
        </is>
      </c>
      <c r="F188">
        <f>in_exit_basis</f>
        <v/>
      </c>
      <c r="G188" t="inlineStr">
        <is>
          <t>Exit Valuation Basis</t>
        </is>
      </c>
    </row>
    <row r="189">
      <c r="A189" s="98" t="inlineStr">
        <is>
          <t>in_exit_broker_pct</t>
        </is>
      </c>
      <c r="B189" t="inlineStr">
        <is>
          <t>Summary &amp; Assumptions</t>
        </is>
      </c>
      <c r="C189" t="inlineStr">
        <is>
          <t>$M$11</t>
        </is>
      </c>
      <c r="D189" t="inlineStr">
        <is>
          <t>input</t>
        </is>
      </c>
      <c r="E189" t="inlineStr">
        <is>
          <t>pct</t>
        </is>
      </c>
      <c r="F189">
        <f>in_exit_broker_pct</f>
        <v/>
      </c>
      <c r="G189" t="inlineStr">
        <is>
          <t>Broker Commission (% of price)</t>
        </is>
      </c>
    </row>
    <row r="190">
      <c r="A190" s="98" t="inlineStr">
        <is>
          <t>in_exit_cap_rate</t>
        </is>
      </c>
      <c r="B190" t="inlineStr">
        <is>
          <t>Summary &amp; Assumptions</t>
        </is>
      </c>
      <c r="C190" t="inlineStr">
        <is>
          <t>$M$8</t>
        </is>
      </c>
      <c r="D190" t="inlineStr">
        <is>
          <t>input</t>
        </is>
      </c>
      <c r="E190" t="inlineStr">
        <is>
          <t>pct</t>
        </is>
      </c>
      <c r="F190">
        <f>in_exit_cap_rate</f>
        <v/>
      </c>
      <c r="G190" t="inlineStr">
        <is>
          <t>Exit Cap Rate | Exit Price</t>
        </is>
      </c>
    </row>
    <row r="191">
      <c r="A191" s="98" t="inlineStr">
        <is>
          <t>in_exit_selling_pct</t>
        </is>
      </c>
      <c r="B191" t="inlineStr">
        <is>
          <t>Summary &amp; Assumptions</t>
        </is>
      </c>
      <c r="C191" t="inlineStr">
        <is>
          <t>$M$9</t>
        </is>
      </c>
      <c r="D191" t="inlineStr">
        <is>
          <t>input</t>
        </is>
      </c>
      <c r="E191" t="inlineStr">
        <is>
          <t>pct</t>
        </is>
      </c>
      <c r="F191">
        <f>in_exit_selling_pct</f>
        <v/>
      </c>
      <c r="G191" t="inlineStr">
        <is>
          <t>Selling Costs (% of price)</t>
        </is>
      </c>
    </row>
    <row r="192">
      <c r="A192" s="98" t="inlineStr">
        <is>
          <t>in_exit_transfer_pct</t>
        </is>
      </c>
      <c r="B192" t="inlineStr">
        <is>
          <t>Summary &amp; Assumptions</t>
        </is>
      </c>
      <c r="C192" t="inlineStr">
        <is>
          <t>$M$10</t>
        </is>
      </c>
      <c r="D192" t="inlineStr">
        <is>
          <t>input</t>
        </is>
      </c>
      <c r="E192" t="inlineStr">
        <is>
          <t>pct</t>
        </is>
      </c>
      <c r="F192">
        <f>in_exit_transfer_pct</f>
        <v/>
      </c>
      <c r="G192" t="inlineStr">
        <is>
          <t>Transfer Tax</t>
        </is>
      </c>
      <c r="H192" s="95" t="inlineStr">
        <is>
          <t>'=IF('Summary &amp; Assumptions'!$C$9="WA",'WA REET Calculation'!$E$26,0.01)</t>
        </is>
      </c>
    </row>
    <row r="193">
      <c r="A193" s="98" t="inlineStr">
        <is>
          <t>in_fallback_avg_rent</t>
        </is>
      </c>
      <c r="B193" t="inlineStr">
        <is>
          <t>Preferences</t>
        </is>
      </c>
      <c r="C193" t="inlineStr">
        <is>
          <t>$C$39</t>
        </is>
      </c>
      <c r="D193" t="inlineStr">
        <is>
          <t>input</t>
        </is>
      </c>
      <c r="E193" t="inlineStr">
        <is>
          <t>float</t>
        </is>
      </c>
      <c r="F193">
        <f>in_fallback_avg_rent</f>
        <v/>
      </c>
      <c r="G193" t="inlineStr">
        <is>
          <t>average monthly rent per unit when there's no rent roll or T12</t>
        </is>
      </c>
    </row>
    <row r="194">
      <c r="A194" s="98" t="inlineStr">
        <is>
          <t>in_fallback_opex_ratio</t>
        </is>
      </c>
      <c r="B194" t="inlineStr">
        <is>
          <t>Preferences</t>
        </is>
      </c>
      <c r="C194" t="inlineStr">
        <is>
          <t>$C$38</t>
        </is>
      </c>
      <c r="D194" t="inlineStr">
        <is>
          <t>input</t>
        </is>
      </c>
      <c r="E194" t="inlineStr">
        <is>
          <t>pct</t>
        </is>
      </c>
      <c r="F194">
        <f>in_fallback_opex_ratio</f>
        <v/>
      </c>
      <c r="G194" t="inlineStr">
        <is>
          <t>operating expenses as a % of EGR when there is no statement</t>
        </is>
      </c>
    </row>
    <row r="195">
      <c r="A195" s="98" t="inlineStr">
        <is>
          <t>in_fee_acq_pct</t>
        </is>
      </c>
      <c r="B195" t="inlineStr">
        <is>
          <t>Investor Waterfall</t>
        </is>
      </c>
      <c r="C195" t="inlineStr">
        <is>
          <t>$H$6</t>
        </is>
      </c>
      <c r="D195" t="inlineStr">
        <is>
          <t>input</t>
        </is>
      </c>
      <c r="E195" t="inlineStr">
        <is>
          <t>pct</t>
        </is>
      </c>
      <c r="F195">
        <f>in_fee_acq_pct</f>
        <v/>
      </c>
      <c r="G195" t="inlineStr">
        <is>
          <t>Acquisition Fee (% of price)</t>
        </is>
      </c>
    </row>
    <row r="196">
      <c r="A196" s="98" t="inlineStr">
        <is>
          <t>in_fee_am_basis</t>
        </is>
      </c>
      <c r="B196" t="inlineStr">
        <is>
          <t>Investor Waterfall</t>
        </is>
      </c>
      <c r="C196" t="inlineStr">
        <is>
          <t>$H$7</t>
        </is>
      </c>
      <c r="D196" t="inlineStr">
        <is>
          <t>input</t>
        </is>
      </c>
      <c r="E196" t="inlineStr">
        <is>
          <t>enum</t>
        </is>
      </c>
      <c r="F196">
        <f>in_fee_am_basis</f>
        <v/>
      </c>
      <c r="G196" t="inlineStr">
        <is>
          <t>AM Fee Basis</t>
        </is>
      </c>
    </row>
    <row r="197">
      <c r="A197" s="98" t="inlineStr">
        <is>
          <t>in_fee_am_fixed</t>
        </is>
      </c>
      <c r="B197" t="inlineStr">
        <is>
          <t>Investor Waterfall</t>
        </is>
      </c>
      <c r="C197" t="inlineStr">
        <is>
          <t>$H$9</t>
        </is>
      </c>
      <c r="D197" t="inlineStr">
        <is>
          <t>input</t>
        </is>
      </c>
      <c r="E197" t="inlineStr">
        <is>
          <t>currency</t>
        </is>
      </c>
      <c r="F197">
        <f>in_fee_am_fixed</f>
        <v/>
      </c>
      <c r="G197" t="inlineStr">
        <is>
          <t>AM Fee Fixed ($/yr)</t>
        </is>
      </c>
    </row>
    <row r="198">
      <c r="A198" s="98" t="inlineStr">
        <is>
          <t>in_fee_am_rate</t>
        </is>
      </c>
      <c r="B198" t="inlineStr">
        <is>
          <t>Investor Waterfall</t>
        </is>
      </c>
      <c r="C198" t="inlineStr">
        <is>
          <t>$H$8</t>
        </is>
      </c>
      <c r="D198" t="inlineStr">
        <is>
          <t>input</t>
        </is>
      </c>
      <c r="E198" t="inlineStr">
        <is>
          <t>pct</t>
        </is>
      </c>
      <c r="F198">
        <f>in_fee_am_rate</f>
        <v/>
      </c>
      <c r="G198" t="inlineStr">
        <is>
          <t>AM Fee Rate</t>
        </is>
      </c>
    </row>
    <row r="199">
      <c r="A199" s="98" t="inlineStr">
        <is>
          <t>in_fee_dispo_pct</t>
        </is>
      </c>
      <c r="B199" t="inlineStr">
        <is>
          <t>Investor Waterfall</t>
        </is>
      </c>
      <c r="C199" t="inlineStr">
        <is>
          <t>$H$10</t>
        </is>
      </c>
      <c r="D199" t="inlineStr">
        <is>
          <t>input</t>
        </is>
      </c>
      <c r="E199" t="inlineStr">
        <is>
          <t>pct</t>
        </is>
      </c>
      <c r="F199">
        <f>in_fee_dispo_pct</f>
        <v/>
      </c>
      <c r="G199" t="inlineStr">
        <is>
          <t>Disposition Fee (% of sale)</t>
        </is>
      </c>
    </row>
    <row r="200">
      <c r="A200" s="98" t="inlineStr">
        <is>
          <t>in_growth_expense</t>
        </is>
      </c>
      <c r="B200" t="inlineStr">
        <is>
          <t>CashFlow</t>
        </is>
      </c>
      <c r="C200" t="inlineStr">
        <is>
          <t>$F$8:$P$8</t>
        </is>
      </c>
      <c r="D200" t="inlineStr">
        <is>
          <t>array_in</t>
        </is>
      </c>
      <c r="E200" t="inlineStr">
        <is>
          <t>pct</t>
        </is>
      </c>
      <c r="G200" t="inlineStr">
        <is>
          <t>Expense Growth: years 1-10 + thereafter (col P)</t>
        </is>
      </c>
    </row>
    <row r="201">
      <c r="A201" s="98" t="inlineStr">
        <is>
          <t>in_growth_other_income</t>
        </is>
      </c>
      <c r="B201" t="inlineStr">
        <is>
          <t>CashFlow</t>
        </is>
      </c>
      <c r="C201" t="inlineStr">
        <is>
          <t>$F$7:$P$7</t>
        </is>
      </c>
      <c r="D201" t="inlineStr">
        <is>
          <t>array_in</t>
        </is>
      </c>
      <c r="E201" t="inlineStr">
        <is>
          <t>pct</t>
        </is>
      </c>
      <c r="G201" t="inlineStr">
        <is>
          <t>Other Income Growth: years 1-10 + thereafter (col P)</t>
        </is>
      </c>
    </row>
    <row r="202">
      <c r="A202" s="98" t="inlineStr">
        <is>
          <t>in_growth_rent</t>
        </is>
      </c>
      <c r="B202" t="inlineStr">
        <is>
          <t>CashFlow</t>
        </is>
      </c>
      <c r="C202" t="inlineStr">
        <is>
          <t>$F$6:$P$6</t>
        </is>
      </c>
      <c r="D202" t="inlineStr">
        <is>
          <t>array_in</t>
        </is>
      </c>
      <c r="E202" t="inlineStr">
        <is>
          <t>pct</t>
        </is>
      </c>
      <c r="G202" t="inlineStr">
        <is>
          <t>Residential Rent Growth: years 1-10 + thereafter (col P)</t>
        </is>
      </c>
    </row>
    <row r="203">
      <c r="A203" s="98" t="inlineStr">
        <is>
          <t>in_growth_vacancy</t>
        </is>
      </c>
      <c r="B203" t="inlineStr">
        <is>
          <t>CashFlow</t>
        </is>
      </c>
      <c r="C203" t="inlineStr">
        <is>
          <t>$F$9:$P$9</t>
        </is>
      </c>
      <c r="D203" t="inlineStr">
        <is>
          <t>array_in</t>
        </is>
      </c>
      <c r="E203" t="inlineStr">
        <is>
          <t>pct</t>
        </is>
      </c>
      <c r="G203" t="inlineStr">
        <is>
          <t>Stabilized Vacancy (Market Estimate P&amp;L): years 1-10 + thereafter (col P)</t>
        </is>
      </c>
    </row>
    <row r="204">
      <c r="A204" s="98" t="inlineStr">
        <is>
          <t>in_index_curve</t>
        </is>
      </c>
      <c r="B204" t="inlineStr">
        <is>
          <t>Summary &amp; Assumptions</t>
        </is>
      </c>
      <c r="C204" t="inlineStr">
        <is>
          <t>$C$63:$Q$63</t>
        </is>
      </c>
      <c r="D204" t="inlineStr">
        <is>
          <t>array_in</t>
        </is>
      </c>
      <c r="E204" t="inlineStr">
        <is>
          <t>pct</t>
        </is>
      </c>
      <c r="G204" t="inlineStr">
        <is>
          <t>annual average index rate, years 1-15</t>
        </is>
      </c>
    </row>
    <row r="205">
      <c r="A205" s="98" t="inlineStr">
        <is>
          <t>in_ltl_capture_months</t>
        </is>
      </c>
      <c r="B205" t="inlineStr">
        <is>
          <t>Summary &amp; Assumptions</t>
        </is>
      </c>
      <c r="C205" t="inlineStr">
        <is>
          <t>$C$26</t>
        </is>
      </c>
      <c r="D205" t="inlineStr">
        <is>
          <t>input</t>
        </is>
      </c>
      <c r="E205" t="inlineStr">
        <is>
          <t>int</t>
        </is>
      </c>
      <c r="F205">
        <f>in_ltl_capture_months</f>
        <v/>
      </c>
      <c r="G205" t="inlineStr">
        <is>
          <t>months to close embedded loss-to-lease via turns/renewals (0 = never)</t>
        </is>
      </c>
    </row>
    <row r="206">
      <c r="A206" s="98" t="inlineStr">
        <is>
          <t>in_og_annual</t>
        </is>
      </c>
      <c r="B206" t="inlineStr">
        <is>
          <t>OG T12</t>
        </is>
      </c>
      <c r="C206" t="inlineStr">
        <is>
          <t>$R$7:$R$226</t>
        </is>
      </c>
      <c r="D206" t="inlineStr">
        <is>
          <t>array_in</t>
        </is>
      </c>
      <c r="E206" t="inlineStr">
        <is>
          <t>currency</t>
        </is>
      </c>
      <c r="G206" t="inlineStr">
        <is>
          <t>OG T12: stated ANNUALIZED amount per source row (partial statements; blank = P&amp;L uses the raw month sum)</t>
        </is>
      </c>
    </row>
    <row r="207">
      <c r="A207" s="98" t="inlineStr">
        <is>
          <t>in_og_dates</t>
        </is>
      </c>
      <c r="B207" t="inlineStr">
        <is>
          <t>OG T12</t>
        </is>
      </c>
      <c r="C207" t="inlineStr">
        <is>
          <t>$D$5:$P$5</t>
        </is>
      </c>
      <c r="D207" t="inlineStr">
        <is>
          <t>array_in</t>
        </is>
      </c>
      <c r="E207" t="inlineStr">
        <is>
          <t>date</t>
        </is>
      </c>
      <c r="G207" t="inlineStr">
        <is>
          <t>OG T12: month-ending dates per column</t>
        </is>
      </c>
    </row>
    <row r="208">
      <c r="A208" s="98" t="inlineStr">
        <is>
          <t>in_og_label</t>
        </is>
      </c>
      <c r="B208" t="inlineStr">
        <is>
          <t>OG T12</t>
        </is>
      </c>
      <c r="C208" t="inlineStr">
        <is>
          <t>$C$7:$C$226</t>
        </is>
      </c>
      <c r="D208" t="inlineStr">
        <is>
          <t>array_in</t>
        </is>
      </c>
      <c r="E208" t="inlineStr">
        <is>
          <t>text</t>
        </is>
      </c>
      <c r="G208" t="inlineStr">
        <is>
          <t>OG T12: original account labels</t>
        </is>
      </c>
    </row>
    <row r="209">
      <c r="A209" s="98" t="inlineStr">
        <is>
          <t>in_og_map</t>
        </is>
      </c>
      <c r="B209" t="inlineStr">
        <is>
          <t>OG T12</t>
        </is>
      </c>
      <c r="C209" t="inlineStr">
        <is>
          <t>$B$7:$B$226</t>
        </is>
      </c>
      <c r="D209" t="inlineStr">
        <is>
          <t>array_in</t>
        </is>
      </c>
      <c r="E209" t="inlineStr">
        <is>
          <t>text</t>
        </is>
      </c>
      <c r="G209" t="inlineStr">
        <is>
          <t>OG T12: Slung line mapping per source row</t>
        </is>
      </c>
    </row>
    <row r="210">
      <c r="A210" s="98" t="inlineStr">
        <is>
          <t>in_og_values</t>
        </is>
      </c>
      <c r="B210" t="inlineStr">
        <is>
          <t>OG T12</t>
        </is>
      </c>
      <c r="C210" t="inlineStr">
        <is>
          <t>$D$7:$P$226</t>
        </is>
      </c>
      <c r="D210" t="inlineStr">
        <is>
          <t>array_in</t>
        </is>
      </c>
      <c r="E210" t="inlineStr">
        <is>
          <t>currency</t>
        </is>
      </c>
      <c r="G210" t="inlineStr">
        <is>
          <t>OG T12: monthly values grid</t>
        </is>
      </c>
    </row>
    <row r="211">
      <c r="A211" s="98" t="inlineStr">
        <is>
          <t>in_pl_calctype_admin</t>
        </is>
      </c>
      <c r="B211" t="inlineStr">
        <is>
          <t>P&amp;L</t>
        </is>
      </c>
      <c r="C211" t="inlineStr">
        <is>
          <t>$X$45</t>
        </is>
      </c>
      <c r="D211" t="inlineStr">
        <is>
          <t>input</t>
        </is>
      </c>
      <c r="E211" t="inlineStr">
        <is>
          <t>enum</t>
        </is>
      </c>
      <c r="F211">
        <f>in_pl_calctype_admin</f>
        <v/>
      </c>
      <c r="G211" t="inlineStr">
        <is>
          <t>calc type: Administrative</t>
        </is>
      </c>
    </row>
    <row r="212">
      <c r="A212" s="98" t="inlineStr">
        <is>
          <t>in_pl_calctype_bad_debt</t>
        </is>
      </c>
      <c r="B212" t="inlineStr">
        <is>
          <t>P&amp;L</t>
        </is>
      </c>
      <c r="C212" t="inlineStr">
        <is>
          <t>$X$13</t>
        </is>
      </c>
      <c r="D212" t="inlineStr">
        <is>
          <t>input</t>
        </is>
      </c>
      <c r="E212" t="inlineStr">
        <is>
          <t>enum</t>
        </is>
      </c>
      <c r="F212">
        <f>in_pl_calctype_bad_debt</f>
        <v/>
      </c>
      <c r="G212" t="inlineStr">
        <is>
          <t>calc type: Bad Debt/Collection Loss</t>
        </is>
      </c>
    </row>
    <row r="213">
      <c r="A213" s="98" t="inlineStr">
        <is>
          <t>in_pl_calctype_commercial</t>
        </is>
      </c>
      <c r="B213" t="inlineStr">
        <is>
          <t>P&amp;L</t>
        </is>
      </c>
      <c r="C213" t="inlineStr">
        <is>
          <t>$X$20</t>
        </is>
      </c>
      <c r="D213" t="inlineStr">
        <is>
          <t>input</t>
        </is>
      </c>
      <c r="E213" t="inlineStr">
        <is>
          <t>enum</t>
        </is>
      </c>
      <c r="F213">
        <f>in_pl_calctype_commercial</f>
        <v/>
      </c>
      <c r="G213" t="inlineStr">
        <is>
          <t>calc type: Commercial Rent</t>
        </is>
      </c>
    </row>
    <row r="214">
      <c r="A214" s="98" t="inlineStr">
        <is>
          <t>in_pl_calctype_concessions</t>
        </is>
      </c>
      <c r="B214" t="inlineStr">
        <is>
          <t>P&amp;L</t>
        </is>
      </c>
      <c r="C214" t="inlineStr">
        <is>
          <t>$X$12</t>
        </is>
      </c>
      <c r="D214" t="inlineStr">
        <is>
          <t>input</t>
        </is>
      </c>
      <c r="E214" t="inlineStr">
        <is>
          <t>enum</t>
        </is>
      </c>
      <c r="F214">
        <f>in_pl_calctype_concessions</f>
        <v/>
      </c>
      <c r="G214" t="inlineStr">
        <is>
          <t>calc type: Concessions</t>
        </is>
      </c>
    </row>
    <row r="215">
      <c r="A215" s="98" t="inlineStr">
        <is>
          <t>in_pl_calctype_gpr</t>
        </is>
      </c>
      <c r="B215" t="inlineStr">
        <is>
          <t>P&amp;L</t>
        </is>
      </c>
      <c r="C215" t="inlineStr">
        <is>
          <t>$X$8</t>
        </is>
      </c>
      <c r="D215" t="inlineStr">
        <is>
          <t>input</t>
        </is>
      </c>
      <c r="E215" t="inlineStr">
        <is>
          <t>enum</t>
        </is>
      </c>
      <c r="F215">
        <f>in_pl_calctype_gpr</f>
        <v/>
      </c>
      <c r="G215" t="inlineStr">
        <is>
          <t>calc type: Residential Income (GPR)</t>
        </is>
      </c>
    </row>
    <row r="216">
      <c r="A216" s="98" t="inlineStr">
        <is>
          <t>in_pl_calctype_insurance</t>
        </is>
      </c>
      <c r="B216" t="inlineStr">
        <is>
          <t>P&amp;L</t>
        </is>
      </c>
      <c r="C216" t="inlineStr">
        <is>
          <t>$X$32</t>
        </is>
      </c>
      <c r="D216" t="inlineStr">
        <is>
          <t>input</t>
        </is>
      </c>
      <c r="E216" t="inlineStr">
        <is>
          <t>enum</t>
        </is>
      </c>
      <c r="F216">
        <f>in_pl_calctype_insurance</f>
        <v/>
      </c>
      <c r="G216" t="inlineStr">
        <is>
          <t>calc type: Insurance</t>
        </is>
      </c>
    </row>
    <row r="217">
      <c r="A217" s="98" t="inlineStr">
        <is>
          <t>in_pl_calctype_ltl</t>
        </is>
      </c>
      <c r="B217" t="inlineStr">
        <is>
          <t>P&amp;L</t>
        </is>
      </c>
      <c r="C217" t="inlineStr">
        <is>
          <t>$X$9</t>
        </is>
      </c>
      <c r="D217" t="inlineStr">
        <is>
          <t>input</t>
        </is>
      </c>
      <c r="E217" t="inlineStr">
        <is>
          <t>enum</t>
        </is>
      </c>
      <c r="F217">
        <f>in_pl_calctype_ltl</f>
        <v/>
      </c>
      <c r="G217" t="inlineStr">
        <is>
          <t>calc type: Loss to Lease</t>
        </is>
      </c>
    </row>
    <row r="218">
      <c r="A218" s="98" t="inlineStr">
        <is>
          <t>in_pl_calctype_marketing</t>
        </is>
      </c>
      <c r="B218" t="inlineStr">
        <is>
          <t>P&amp;L</t>
        </is>
      </c>
      <c r="C218" t="inlineStr">
        <is>
          <t>$X$44</t>
        </is>
      </c>
      <c r="D218" t="inlineStr">
        <is>
          <t>input</t>
        </is>
      </c>
      <c r="E218" t="inlineStr">
        <is>
          <t>enum</t>
        </is>
      </c>
      <c r="F218">
        <f>in_pl_calctype_marketing</f>
        <v/>
      </c>
      <c r="G218" t="inlineStr">
        <is>
          <t>calc type: Marketing/Advertising</t>
        </is>
      </c>
    </row>
    <row r="219">
      <c r="A219" s="98" t="inlineStr">
        <is>
          <t>in_pl_calctype_mgmt</t>
        </is>
      </c>
      <c r="B219" t="inlineStr">
        <is>
          <t>P&amp;L</t>
        </is>
      </c>
      <c r="C219" t="inlineStr">
        <is>
          <t>$X$46</t>
        </is>
      </c>
      <c r="D219" t="inlineStr">
        <is>
          <t>input</t>
        </is>
      </c>
      <c r="E219" t="inlineStr">
        <is>
          <t>enum</t>
        </is>
      </c>
      <c r="F219">
        <f>in_pl_calctype_mgmt</f>
        <v/>
      </c>
      <c r="G219" t="inlineStr">
        <is>
          <t>calc type: Property Management</t>
        </is>
      </c>
    </row>
    <row r="220">
      <c r="A220" s="98" t="inlineStr">
        <is>
          <t>in_pl_calctype_nonrev</t>
        </is>
      </c>
      <c r="B220" t="inlineStr">
        <is>
          <t>P&amp;L</t>
        </is>
      </c>
      <c r="C220" t="inlineStr">
        <is>
          <t>$X$11</t>
        </is>
      </c>
      <c r="D220" t="inlineStr">
        <is>
          <t>input</t>
        </is>
      </c>
      <c r="E220" t="inlineStr">
        <is>
          <t>enum</t>
        </is>
      </c>
      <c r="F220">
        <f>in_pl_calctype_nonrev</f>
        <v/>
      </c>
      <c r="G220" t="inlineStr">
        <is>
          <t>calc type: Non-Revenue Units</t>
        </is>
      </c>
    </row>
    <row r="221">
      <c r="A221" s="98" t="inlineStr">
        <is>
          <t>in_pl_calctype_oth_fees</t>
        </is>
      </c>
      <c r="B221" t="inlineStr">
        <is>
          <t>P&amp;L</t>
        </is>
      </c>
      <c r="C221" t="inlineStr">
        <is>
          <t>$X$25</t>
        </is>
      </c>
      <c r="D221" t="inlineStr">
        <is>
          <t>input</t>
        </is>
      </c>
      <c r="E221" t="inlineStr">
        <is>
          <t>enum</t>
        </is>
      </c>
      <c r="F221">
        <f>in_pl_calctype_oth_fees</f>
        <v/>
      </c>
      <c r="G221" t="inlineStr">
        <is>
          <t>calc type: Other Income - App/Admin/Late Fees</t>
        </is>
      </c>
    </row>
    <row r="222">
      <c r="A222" s="98" t="inlineStr">
        <is>
          <t>in_pl_calctype_oth_general</t>
        </is>
      </c>
      <c r="B222" t="inlineStr">
        <is>
          <t>P&amp;L</t>
        </is>
      </c>
      <c r="C222" t="inlineStr">
        <is>
          <t>$X$22</t>
        </is>
      </c>
      <c r="D222" t="inlineStr">
        <is>
          <t>input</t>
        </is>
      </c>
      <c r="E222" t="inlineStr">
        <is>
          <t>enum</t>
        </is>
      </c>
      <c r="F222">
        <f>in_pl_calctype_oth_general</f>
        <v/>
      </c>
      <c r="G222" t="inlineStr">
        <is>
          <t>calc type: Other Income - General</t>
        </is>
      </c>
    </row>
    <row r="223">
      <c r="A223" s="98" t="inlineStr">
        <is>
          <t>in_pl_calctype_oth_laundry</t>
        </is>
      </c>
      <c r="B223" t="inlineStr">
        <is>
          <t>P&amp;L</t>
        </is>
      </c>
      <c r="C223" t="inlineStr">
        <is>
          <t>$X$27</t>
        </is>
      </c>
      <c r="D223" t="inlineStr">
        <is>
          <t>input</t>
        </is>
      </c>
      <c r="E223" t="inlineStr">
        <is>
          <t>enum</t>
        </is>
      </c>
      <c r="F223">
        <f>in_pl_calctype_oth_laundry</f>
        <v/>
      </c>
      <c r="G223" t="inlineStr">
        <is>
          <t>calc type: Other Income - Laundry/Vending</t>
        </is>
      </c>
    </row>
    <row r="224">
      <c r="A224" s="98" t="inlineStr">
        <is>
          <t>in_pl_calctype_oth_parking</t>
        </is>
      </c>
      <c r="B224" t="inlineStr">
        <is>
          <t>P&amp;L</t>
        </is>
      </c>
      <c r="C224" t="inlineStr">
        <is>
          <t>$X$23</t>
        </is>
      </c>
      <c r="D224" t="inlineStr">
        <is>
          <t>input</t>
        </is>
      </c>
      <c r="E224" t="inlineStr">
        <is>
          <t>enum</t>
        </is>
      </c>
      <c r="F224">
        <f>in_pl_calctype_oth_parking</f>
        <v/>
      </c>
      <c r="G224" t="inlineStr">
        <is>
          <t>calc type: Other Income - Parking Income</t>
        </is>
      </c>
    </row>
    <row r="225">
      <c r="A225" s="98" t="inlineStr">
        <is>
          <t>in_pl_calctype_oth_pet</t>
        </is>
      </c>
      <c r="B225" t="inlineStr">
        <is>
          <t>P&amp;L</t>
        </is>
      </c>
      <c r="C225" t="inlineStr">
        <is>
          <t>$X$24</t>
        </is>
      </c>
      <c r="D225" t="inlineStr">
        <is>
          <t>input</t>
        </is>
      </c>
      <c r="E225" t="inlineStr">
        <is>
          <t>enum</t>
        </is>
      </c>
      <c r="F225">
        <f>in_pl_calctype_oth_pet</f>
        <v/>
      </c>
      <c r="G225" t="inlineStr">
        <is>
          <t>calc type: Other Income - Pet Rent/Fees</t>
        </is>
      </c>
    </row>
    <row r="226">
      <c r="A226" s="98" t="inlineStr">
        <is>
          <t>in_pl_calctype_oth_storage</t>
        </is>
      </c>
      <c r="B226" t="inlineStr">
        <is>
          <t>P&amp;L</t>
        </is>
      </c>
      <c r="C226" t="inlineStr">
        <is>
          <t>$X$26</t>
        </is>
      </c>
      <c r="D226" t="inlineStr">
        <is>
          <t>input</t>
        </is>
      </c>
      <c r="E226" t="inlineStr">
        <is>
          <t>enum</t>
        </is>
      </c>
      <c r="F226">
        <f>in_pl_calctype_oth_storage</f>
        <v/>
      </c>
      <c r="G226" t="inlineStr">
        <is>
          <t>calc type: Other Income - Storage</t>
        </is>
      </c>
    </row>
    <row r="227">
      <c r="A227" s="98" t="inlineStr">
        <is>
          <t>in_pl_calctype_other</t>
        </is>
      </c>
      <c r="B227" t="inlineStr">
        <is>
          <t>P&amp;L</t>
        </is>
      </c>
      <c r="C227" t="inlineStr">
        <is>
          <t>$X$21</t>
        </is>
      </c>
      <c r="D227" t="inlineStr">
        <is>
          <t>input</t>
        </is>
      </c>
      <c r="E227" t="inlineStr">
        <is>
          <t>enum</t>
        </is>
      </c>
      <c r="F227">
        <f>in_pl_calctype_other</f>
        <v/>
      </c>
      <c r="G227" t="inlineStr">
        <is>
          <t>calc type: Other Income</t>
        </is>
      </c>
    </row>
    <row r="228">
      <c r="A228" s="98" t="inlineStr">
        <is>
          <t>in_pl_calctype_reimb</t>
        </is>
      </c>
      <c r="B228" t="inlineStr">
        <is>
          <t>P&amp;L</t>
        </is>
      </c>
      <c r="C228" t="inlineStr">
        <is>
          <t>$X$14</t>
        </is>
      </c>
      <c r="D228" t="inlineStr">
        <is>
          <t>input</t>
        </is>
      </c>
      <c r="E228" t="inlineStr">
        <is>
          <t>enum</t>
        </is>
      </c>
      <c r="F228">
        <f>in_pl_calctype_reimb</f>
        <v/>
      </c>
      <c r="G228" t="inlineStr">
        <is>
          <t>calc type: Reimbursements (RUBS)</t>
        </is>
      </c>
    </row>
    <row r="229">
      <c r="A229" s="98" t="inlineStr">
        <is>
          <t>in_pl_calctype_reimb_electric</t>
        </is>
      </c>
      <c r="B229" t="inlineStr">
        <is>
          <t>P&amp;L</t>
        </is>
      </c>
      <c r="C229" t="inlineStr">
        <is>
          <t>$X$16</t>
        </is>
      </c>
      <c r="D229" t="inlineStr">
        <is>
          <t>input</t>
        </is>
      </c>
      <c r="E229" t="inlineStr">
        <is>
          <t>enum</t>
        </is>
      </c>
      <c r="F229">
        <f>in_pl_calctype_reimb_electric</f>
        <v/>
      </c>
      <c r="G229" t="inlineStr">
        <is>
          <t>calc type: Reimbursements (RUBS) - Electric</t>
        </is>
      </c>
    </row>
    <row r="230">
      <c r="A230" s="98" t="inlineStr">
        <is>
          <t>in_pl_calctype_reimb_gas</t>
        </is>
      </c>
      <c r="B230" t="inlineStr">
        <is>
          <t>P&amp;L</t>
        </is>
      </c>
      <c r="C230" t="inlineStr">
        <is>
          <t>$X$18</t>
        </is>
      </c>
      <c r="D230" t="inlineStr">
        <is>
          <t>input</t>
        </is>
      </c>
      <c r="E230" t="inlineStr">
        <is>
          <t>enum</t>
        </is>
      </c>
      <c r="F230">
        <f>in_pl_calctype_reimb_gas</f>
        <v/>
      </c>
      <c r="G230" t="inlineStr">
        <is>
          <t>calc type: Reimbursements (RUBS) - Gas</t>
        </is>
      </c>
    </row>
    <row r="231">
      <c r="A231" s="98" t="inlineStr">
        <is>
          <t>in_pl_calctype_reimb_general</t>
        </is>
      </c>
      <c r="B231" t="inlineStr">
        <is>
          <t>P&amp;L</t>
        </is>
      </c>
      <c r="C231" t="inlineStr">
        <is>
          <t>$X$15</t>
        </is>
      </c>
      <c r="D231" t="inlineStr">
        <is>
          <t>input</t>
        </is>
      </c>
      <c r="E231" t="inlineStr">
        <is>
          <t>enum</t>
        </is>
      </c>
      <c r="F231">
        <f>in_pl_calctype_reimb_general</f>
        <v/>
      </c>
      <c r="G231" t="inlineStr">
        <is>
          <t>calc type: Reimbursements (RUBS) - General</t>
        </is>
      </c>
    </row>
    <row r="232">
      <c r="A232" s="98" t="inlineStr">
        <is>
          <t>in_pl_calctype_reimb_trash</t>
        </is>
      </c>
      <c r="B232" t="inlineStr">
        <is>
          <t>P&amp;L</t>
        </is>
      </c>
      <c r="C232" t="inlineStr">
        <is>
          <t>$X$19</t>
        </is>
      </c>
      <c r="D232" t="inlineStr">
        <is>
          <t>input</t>
        </is>
      </c>
      <c r="E232" t="inlineStr">
        <is>
          <t>enum</t>
        </is>
      </c>
      <c r="F232">
        <f>in_pl_calctype_reimb_trash</f>
        <v/>
      </c>
      <c r="G232" t="inlineStr">
        <is>
          <t>calc type: Reimbursements (RUBS) - Trash</t>
        </is>
      </c>
    </row>
    <row r="233">
      <c r="A233" s="98" t="inlineStr">
        <is>
          <t>in_pl_calctype_reimb_water</t>
        </is>
      </c>
      <c r="B233" t="inlineStr">
        <is>
          <t>P&amp;L</t>
        </is>
      </c>
      <c r="C233" t="inlineStr">
        <is>
          <t>$X$17</t>
        </is>
      </c>
      <c r="D233" t="inlineStr">
        <is>
          <t>input</t>
        </is>
      </c>
      <c r="E233" t="inlineStr">
        <is>
          <t>enum</t>
        </is>
      </c>
      <c r="F233">
        <f>in_pl_calctype_reimb_water</f>
        <v/>
      </c>
      <c r="G233" t="inlineStr">
        <is>
          <t>calc type: Reimbursements (RUBS) - Water/Sewer</t>
        </is>
      </c>
    </row>
    <row r="234">
      <c r="A234" s="98" t="inlineStr">
        <is>
          <t>in_pl_calctype_rm</t>
        </is>
      </c>
      <c r="B234" t="inlineStr">
        <is>
          <t>P&amp;L</t>
        </is>
      </c>
      <c r="C234" t="inlineStr">
        <is>
          <t>$X$34</t>
        </is>
      </c>
      <c r="D234" t="inlineStr">
        <is>
          <t>input</t>
        </is>
      </c>
      <c r="E234" t="inlineStr">
        <is>
          <t>enum</t>
        </is>
      </c>
      <c r="F234">
        <f>in_pl_calctype_rm</f>
        <v/>
      </c>
      <c r="G234" t="inlineStr">
        <is>
          <t>calc type: Repairs and Maintenance</t>
        </is>
      </c>
    </row>
    <row r="235">
      <c r="A235" s="98" t="inlineStr">
        <is>
          <t>in_pl_calctype_rm_contract</t>
        </is>
      </c>
      <c r="B235" t="inlineStr">
        <is>
          <t>P&amp;L</t>
        </is>
      </c>
      <c r="C235" t="inlineStr">
        <is>
          <t>$X$36</t>
        </is>
      </c>
      <c r="D235" t="inlineStr">
        <is>
          <t>input</t>
        </is>
      </c>
      <c r="E235" t="inlineStr">
        <is>
          <t>enum</t>
        </is>
      </c>
      <c r="F235">
        <f>in_pl_calctype_rm_contract</f>
        <v/>
      </c>
      <c r="G235" t="inlineStr">
        <is>
          <t>calc type: Repairs and Maintenance - Contract Services</t>
        </is>
      </c>
    </row>
    <row r="236">
      <c r="A236" s="98" t="inlineStr">
        <is>
          <t>in_pl_calctype_rm_general</t>
        </is>
      </c>
      <c r="B236" t="inlineStr">
        <is>
          <t>P&amp;L</t>
        </is>
      </c>
      <c r="C236" t="inlineStr">
        <is>
          <t>$X$35</t>
        </is>
      </c>
      <c r="D236" t="inlineStr">
        <is>
          <t>input</t>
        </is>
      </c>
      <c r="E236" t="inlineStr">
        <is>
          <t>enum</t>
        </is>
      </c>
      <c r="F236">
        <f>in_pl_calctype_rm_general</f>
        <v/>
      </c>
      <c r="G236" t="inlineStr">
        <is>
          <t>calc type: Repairs and Maintenance - General</t>
        </is>
      </c>
    </row>
    <row r="237">
      <c r="A237" s="98" t="inlineStr">
        <is>
          <t>in_pl_calctype_rm_turnover</t>
        </is>
      </c>
      <c r="B237" t="inlineStr">
        <is>
          <t>P&amp;L</t>
        </is>
      </c>
      <c r="C237" t="inlineStr">
        <is>
          <t>$X$37</t>
        </is>
      </c>
      <c r="D237" t="inlineStr">
        <is>
          <t>input</t>
        </is>
      </c>
      <c r="E237" t="inlineStr">
        <is>
          <t>enum</t>
        </is>
      </c>
      <c r="F237">
        <f>in_pl_calctype_rm_turnover</f>
        <v/>
      </c>
      <c r="G237" t="inlineStr">
        <is>
          <t>calc type: Repairs and Maintenance - Turnover</t>
        </is>
      </c>
    </row>
    <row r="238">
      <c r="A238" s="98" t="inlineStr">
        <is>
          <t>in_pl_calctype_salaries</t>
        </is>
      </c>
      <c r="B238" t="inlineStr">
        <is>
          <t>P&amp;L</t>
        </is>
      </c>
      <c r="C238" t="inlineStr">
        <is>
          <t>$X$33</t>
        </is>
      </c>
      <c r="D238" t="inlineStr">
        <is>
          <t>input</t>
        </is>
      </c>
      <c r="E238" t="inlineStr">
        <is>
          <t>enum</t>
        </is>
      </c>
      <c r="F238">
        <f>in_pl_calctype_salaries</f>
        <v/>
      </c>
      <c r="G238" t="inlineStr">
        <is>
          <t>calc type: Salaries</t>
        </is>
      </c>
    </row>
    <row r="239">
      <c r="A239" s="98" t="inlineStr">
        <is>
          <t>in_pl_calctype_taxes</t>
        </is>
      </c>
      <c r="B239" t="inlineStr">
        <is>
          <t>P&amp;L</t>
        </is>
      </c>
      <c r="C239" t="inlineStr">
        <is>
          <t>$X$31</t>
        </is>
      </c>
      <c r="D239" t="inlineStr">
        <is>
          <t>input</t>
        </is>
      </c>
      <c r="E239" t="inlineStr">
        <is>
          <t>enum</t>
        </is>
      </c>
      <c r="F239">
        <f>in_pl_calctype_taxes</f>
        <v/>
      </c>
      <c r="G239" t="inlineStr">
        <is>
          <t>calc type: Real Estate Taxes</t>
        </is>
      </c>
    </row>
    <row r="240">
      <c r="A240" s="98" t="inlineStr">
        <is>
          <t>in_pl_calctype_unmapped</t>
        </is>
      </c>
      <c r="B240" t="inlineStr">
        <is>
          <t>P&amp;L</t>
        </is>
      </c>
      <c r="C240" t="inlineStr">
        <is>
          <t>$X$47</t>
        </is>
      </c>
      <c r="D240" t="inlineStr">
        <is>
          <t>input</t>
        </is>
      </c>
      <c r="E240" t="inlineStr">
        <is>
          <t>enum</t>
        </is>
      </c>
      <c r="F240">
        <f>in_pl_calctype_unmapped</f>
        <v/>
      </c>
      <c r="G240" t="inlineStr">
        <is>
          <t>calc type: Other / Unmapped</t>
        </is>
      </c>
    </row>
    <row r="241">
      <c r="A241" s="98" t="inlineStr">
        <is>
          <t>in_pl_calctype_util_electric</t>
        </is>
      </c>
      <c r="B241" t="inlineStr">
        <is>
          <t>P&amp;L</t>
        </is>
      </c>
      <c r="C241" t="inlineStr">
        <is>
          <t>$X$40</t>
        </is>
      </c>
      <c r="D241" t="inlineStr">
        <is>
          <t>input</t>
        </is>
      </c>
      <c r="E241" t="inlineStr">
        <is>
          <t>enum</t>
        </is>
      </c>
      <c r="F241">
        <f>in_pl_calctype_util_electric</f>
        <v/>
      </c>
      <c r="G241" t="inlineStr">
        <is>
          <t>calc type: Utilities - Electric</t>
        </is>
      </c>
    </row>
    <row r="242">
      <c r="A242" s="98" t="inlineStr">
        <is>
          <t>in_pl_calctype_util_gas</t>
        </is>
      </c>
      <c r="B242" t="inlineStr">
        <is>
          <t>P&amp;L</t>
        </is>
      </c>
      <c r="C242" t="inlineStr">
        <is>
          <t>$X$42</t>
        </is>
      </c>
      <c r="D242" t="inlineStr">
        <is>
          <t>input</t>
        </is>
      </c>
      <c r="E242" t="inlineStr">
        <is>
          <t>enum</t>
        </is>
      </c>
      <c r="F242">
        <f>in_pl_calctype_util_gas</f>
        <v/>
      </c>
      <c r="G242" t="inlineStr">
        <is>
          <t>calc type: Utilities - Gas</t>
        </is>
      </c>
    </row>
    <row r="243">
      <c r="A243" s="98" t="inlineStr">
        <is>
          <t>in_pl_calctype_util_general</t>
        </is>
      </c>
      <c r="B243" t="inlineStr">
        <is>
          <t>P&amp;L</t>
        </is>
      </c>
      <c r="C243" t="inlineStr">
        <is>
          <t>$X$39</t>
        </is>
      </c>
      <c r="D243" t="inlineStr">
        <is>
          <t>input</t>
        </is>
      </c>
      <c r="E243" t="inlineStr">
        <is>
          <t>enum</t>
        </is>
      </c>
      <c r="F243">
        <f>in_pl_calctype_util_general</f>
        <v/>
      </c>
      <c r="G243" t="inlineStr">
        <is>
          <t>calc type: Utilities - General</t>
        </is>
      </c>
    </row>
    <row r="244">
      <c r="A244" s="98" t="inlineStr">
        <is>
          <t>in_pl_calctype_util_trash</t>
        </is>
      </c>
      <c r="B244" t="inlineStr">
        <is>
          <t>P&amp;L</t>
        </is>
      </c>
      <c r="C244" t="inlineStr">
        <is>
          <t>$X$43</t>
        </is>
      </c>
      <c r="D244" t="inlineStr">
        <is>
          <t>input</t>
        </is>
      </c>
      <c r="E244" t="inlineStr">
        <is>
          <t>enum</t>
        </is>
      </c>
      <c r="F244">
        <f>in_pl_calctype_util_trash</f>
        <v/>
      </c>
      <c r="G244" t="inlineStr">
        <is>
          <t>calc type: Utilities - Trash</t>
        </is>
      </c>
    </row>
    <row r="245">
      <c r="A245" s="98" t="inlineStr">
        <is>
          <t>in_pl_calctype_util_water</t>
        </is>
      </c>
      <c r="B245" t="inlineStr">
        <is>
          <t>P&amp;L</t>
        </is>
      </c>
      <c r="C245" t="inlineStr">
        <is>
          <t>$X$41</t>
        </is>
      </c>
      <c r="D245" t="inlineStr">
        <is>
          <t>input</t>
        </is>
      </c>
      <c r="E245" t="inlineStr">
        <is>
          <t>enum</t>
        </is>
      </c>
      <c r="F245">
        <f>in_pl_calctype_util_water</f>
        <v/>
      </c>
      <c r="G245" t="inlineStr">
        <is>
          <t>calc type: Utilities - Water/Sewer</t>
        </is>
      </c>
    </row>
    <row r="246">
      <c r="A246" s="98" t="inlineStr">
        <is>
          <t>in_pl_calctype_utilities</t>
        </is>
      </c>
      <c r="B246" t="inlineStr">
        <is>
          <t>P&amp;L</t>
        </is>
      </c>
      <c r="C246" t="inlineStr">
        <is>
          <t>$X$38</t>
        </is>
      </c>
      <c r="D246" t="inlineStr">
        <is>
          <t>input</t>
        </is>
      </c>
      <c r="E246" t="inlineStr">
        <is>
          <t>enum</t>
        </is>
      </c>
      <c r="F246">
        <f>in_pl_calctype_utilities</f>
        <v/>
      </c>
      <c r="G246" t="inlineStr">
        <is>
          <t>calc type: Utilities</t>
        </is>
      </c>
    </row>
    <row r="247">
      <c r="A247" s="98" t="inlineStr">
        <is>
          <t>in_pl_calctype_vacancy</t>
        </is>
      </c>
      <c r="B247" t="inlineStr">
        <is>
          <t>P&amp;L</t>
        </is>
      </c>
      <c r="C247" t="inlineStr">
        <is>
          <t>$X$10</t>
        </is>
      </c>
      <c r="D247" t="inlineStr">
        <is>
          <t>input</t>
        </is>
      </c>
      <c r="E247" t="inlineStr">
        <is>
          <t>enum</t>
        </is>
      </c>
      <c r="F247">
        <f>in_pl_calctype_vacancy</f>
        <v/>
      </c>
      <c r="G247" t="inlineStr">
        <is>
          <t>calc type: Vacancy</t>
        </is>
      </c>
    </row>
    <row r="248">
      <c r="A248" s="98" t="inlineStr">
        <is>
          <t>in_pl_detail_amount</t>
        </is>
      </c>
      <c r="B248" t="inlineStr">
        <is>
          <t>P&amp;L</t>
        </is>
      </c>
      <c r="C248" t="inlineStr">
        <is>
          <t>$W$51:$W$65</t>
        </is>
      </c>
      <c r="D248" t="inlineStr">
        <is>
          <t>array_in</t>
        </is>
      </c>
      <c r="E248" t="inlineStr">
        <is>
          <t>currency</t>
        </is>
      </c>
      <c r="G248" t="inlineStr">
        <is>
          <t>expense detail amounts</t>
        </is>
      </c>
    </row>
    <row r="249">
      <c r="A249" s="98" t="inlineStr">
        <is>
          <t>in_pl_detail_mapsto</t>
        </is>
      </c>
      <c r="B249" t="inlineStr">
        <is>
          <t>P&amp;L</t>
        </is>
      </c>
      <c r="C249" t="inlineStr">
        <is>
          <t>$X$51:$X$65</t>
        </is>
      </c>
      <c r="D249" t="inlineStr">
        <is>
          <t>array_in</t>
        </is>
      </c>
      <c r="E249" t="inlineStr">
        <is>
          <t>text</t>
        </is>
      </c>
      <c r="G249" t="inlineStr">
        <is>
          <t>expense detail mapping</t>
        </is>
      </c>
    </row>
    <row r="250">
      <c r="A250" s="98" t="inlineStr">
        <is>
          <t>in_pl_growth_admin</t>
        </is>
      </c>
      <c r="B250" t="inlineStr">
        <is>
          <t>P&amp;L</t>
        </is>
      </c>
      <c r="C250" t="inlineStr">
        <is>
          <t>$AN$45</t>
        </is>
      </c>
      <c r="D250" t="inlineStr">
        <is>
          <t>input</t>
        </is>
      </c>
      <c r="E250" t="inlineStr">
        <is>
          <t>pct</t>
        </is>
      </c>
      <c r="F250">
        <f>in_pl_growth_admin</f>
        <v/>
      </c>
      <c r="G250" t="inlineStr">
        <is>
          <t>growth override: Administrative</t>
        </is>
      </c>
    </row>
    <row r="251">
      <c r="A251" s="98" t="inlineStr">
        <is>
          <t>in_pl_growth_bad_debt</t>
        </is>
      </c>
      <c r="B251" t="inlineStr">
        <is>
          <t>P&amp;L</t>
        </is>
      </c>
      <c r="C251" t="inlineStr">
        <is>
          <t>$AN$13</t>
        </is>
      </c>
      <c r="D251" t="inlineStr">
        <is>
          <t>input</t>
        </is>
      </c>
      <c r="E251" t="inlineStr">
        <is>
          <t>pct</t>
        </is>
      </c>
      <c r="F251">
        <f>in_pl_growth_bad_debt</f>
        <v/>
      </c>
      <c r="G251" t="inlineStr">
        <is>
          <t>growth override: Bad Debt/Collection Loss</t>
        </is>
      </c>
    </row>
    <row r="252">
      <c r="A252" s="98" t="inlineStr">
        <is>
          <t>in_pl_growth_commercial</t>
        </is>
      </c>
      <c r="B252" t="inlineStr">
        <is>
          <t>P&amp;L</t>
        </is>
      </c>
      <c r="C252" t="inlineStr">
        <is>
          <t>$AN$20</t>
        </is>
      </c>
      <c r="D252" t="inlineStr">
        <is>
          <t>input</t>
        </is>
      </c>
      <c r="E252" t="inlineStr">
        <is>
          <t>pct</t>
        </is>
      </c>
      <c r="F252">
        <f>in_pl_growth_commercial</f>
        <v/>
      </c>
      <c r="G252" t="inlineStr">
        <is>
          <t>growth override: Commercial Rent</t>
        </is>
      </c>
    </row>
    <row r="253">
      <c r="A253" s="98" t="inlineStr">
        <is>
          <t>in_pl_growth_concessions</t>
        </is>
      </c>
      <c r="B253" t="inlineStr">
        <is>
          <t>P&amp;L</t>
        </is>
      </c>
      <c r="C253" t="inlineStr">
        <is>
          <t>$AN$12</t>
        </is>
      </c>
      <c r="D253" t="inlineStr">
        <is>
          <t>input</t>
        </is>
      </c>
      <c r="E253" t="inlineStr">
        <is>
          <t>pct</t>
        </is>
      </c>
      <c r="F253">
        <f>in_pl_growth_concessions</f>
        <v/>
      </c>
      <c r="G253" t="inlineStr">
        <is>
          <t>growth override: Concessions</t>
        </is>
      </c>
    </row>
    <row r="254">
      <c r="A254" s="98" t="inlineStr">
        <is>
          <t>in_pl_growth_gpr</t>
        </is>
      </c>
      <c r="B254" t="inlineStr">
        <is>
          <t>P&amp;L</t>
        </is>
      </c>
      <c r="C254" t="inlineStr">
        <is>
          <t>$AN$8</t>
        </is>
      </c>
      <c r="D254" t="inlineStr">
        <is>
          <t>input</t>
        </is>
      </c>
      <c r="E254" t="inlineStr">
        <is>
          <t>pct</t>
        </is>
      </c>
      <c r="F254">
        <f>in_pl_growth_gpr</f>
        <v/>
      </c>
      <c r="G254" t="inlineStr">
        <is>
          <t>growth override: Residential Income (GPR)</t>
        </is>
      </c>
    </row>
    <row r="255">
      <c r="A255" s="98" t="inlineStr">
        <is>
          <t>in_pl_growth_insurance</t>
        </is>
      </c>
      <c r="B255" t="inlineStr">
        <is>
          <t>P&amp;L</t>
        </is>
      </c>
      <c r="C255" t="inlineStr">
        <is>
          <t>$AN$32</t>
        </is>
      </c>
      <c r="D255" t="inlineStr">
        <is>
          <t>input</t>
        </is>
      </c>
      <c r="E255" t="inlineStr">
        <is>
          <t>pct</t>
        </is>
      </c>
      <c r="F255">
        <f>in_pl_growth_insurance</f>
        <v/>
      </c>
      <c r="G255" t="inlineStr">
        <is>
          <t>growth override: Insurance</t>
        </is>
      </c>
    </row>
    <row r="256">
      <c r="A256" s="98" t="inlineStr">
        <is>
          <t>in_pl_growth_ltl</t>
        </is>
      </c>
      <c r="B256" t="inlineStr">
        <is>
          <t>P&amp;L</t>
        </is>
      </c>
      <c r="C256" t="inlineStr">
        <is>
          <t>$AN$9</t>
        </is>
      </c>
      <c r="D256" t="inlineStr">
        <is>
          <t>input</t>
        </is>
      </c>
      <c r="E256" t="inlineStr">
        <is>
          <t>pct</t>
        </is>
      </c>
      <c r="F256">
        <f>in_pl_growth_ltl</f>
        <v/>
      </c>
      <c r="G256" t="inlineStr">
        <is>
          <t>growth override: Loss to Lease</t>
        </is>
      </c>
    </row>
    <row r="257">
      <c r="A257" s="98" t="inlineStr">
        <is>
          <t>in_pl_growth_marketing</t>
        </is>
      </c>
      <c r="B257" t="inlineStr">
        <is>
          <t>P&amp;L</t>
        </is>
      </c>
      <c r="C257" t="inlineStr">
        <is>
          <t>$AN$44</t>
        </is>
      </c>
      <c r="D257" t="inlineStr">
        <is>
          <t>input</t>
        </is>
      </c>
      <c r="E257" t="inlineStr">
        <is>
          <t>pct</t>
        </is>
      </c>
      <c r="F257">
        <f>in_pl_growth_marketing</f>
        <v/>
      </c>
      <c r="G257" t="inlineStr">
        <is>
          <t>growth override: Marketing/Advertising</t>
        </is>
      </c>
    </row>
    <row r="258">
      <c r="A258" s="98" t="inlineStr">
        <is>
          <t>in_pl_growth_mgmt</t>
        </is>
      </c>
      <c r="B258" t="inlineStr">
        <is>
          <t>P&amp;L</t>
        </is>
      </c>
      <c r="C258" t="inlineStr">
        <is>
          <t>$AN$46</t>
        </is>
      </c>
      <c r="D258" t="inlineStr">
        <is>
          <t>input</t>
        </is>
      </c>
      <c r="E258" t="inlineStr">
        <is>
          <t>pct</t>
        </is>
      </c>
      <c r="F258">
        <f>in_pl_growth_mgmt</f>
        <v/>
      </c>
      <c r="G258" t="inlineStr">
        <is>
          <t>growth override: Property Management</t>
        </is>
      </c>
    </row>
    <row r="259">
      <c r="A259" s="98" t="inlineStr">
        <is>
          <t>in_pl_growth_nonrev</t>
        </is>
      </c>
      <c r="B259" t="inlineStr">
        <is>
          <t>P&amp;L</t>
        </is>
      </c>
      <c r="C259" t="inlineStr">
        <is>
          <t>$AN$11</t>
        </is>
      </c>
      <c r="D259" t="inlineStr">
        <is>
          <t>input</t>
        </is>
      </c>
      <c r="E259" t="inlineStr">
        <is>
          <t>pct</t>
        </is>
      </c>
      <c r="F259">
        <f>in_pl_growth_nonrev</f>
        <v/>
      </c>
      <c r="G259" t="inlineStr">
        <is>
          <t>growth override: Non-Revenue Units</t>
        </is>
      </c>
    </row>
    <row r="260">
      <c r="A260" s="98" t="inlineStr">
        <is>
          <t>in_pl_growth_oth_fees</t>
        </is>
      </c>
      <c r="B260" t="inlineStr">
        <is>
          <t>P&amp;L</t>
        </is>
      </c>
      <c r="C260" t="inlineStr">
        <is>
          <t>$AN$25</t>
        </is>
      </c>
      <c r="D260" t="inlineStr">
        <is>
          <t>input</t>
        </is>
      </c>
      <c r="E260" t="inlineStr">
        <is>
          <t>pct</t>
        </is>
      </c>
      <c r="F260">
        <f>in_pl_growth_oth_fees</f>
        <v/>
      </c>
      <c r="G260" t="inlineStr">
        <is>
          <t>growth override: Other Income - App/Admin/Late Fees</t>
        </is>
      </c>
    </row>
    <row r="261">
      <c r="A261" s="98" t="inlineStr">
        <is>
          <t>in_pl_growth_oth_general</t>
        </is>
      </c>
      <c r="B261" t="inlineStr">
        <is>
          <t>P&amp;L</t>
        </is>
      </c>
      <c r="C261" t="inlineStr">
        <is>
          <t>$AN$22</t>
        </is>
      </c>
      <c r="D261" t="inlineStr">
        <is>
          <t>input</t>
        </is>
      </c>
      <c r="E261" t="inlineStr">
        <is>
          <t>pct</t>
        </is>
      </c>
      <c r="F261">
        <f>in_pl_growth_oth_general</f>
        <v/>
      </c>
      <c r="G261" t="inlineStr">
        <is>
          <t>growth override: Other Income - General</t>
        </is>
      </c>
    </row>
    <row r="262">
      <c r="A262" s="98" t="inlineStr">
        <is>
          <t>in_pl_growth_oth_laundry</t>
        </is>
      </c>
      <c r="B262" t="inlineStr">
        <is>
          <t>P&amp;L</t>
        </is>
      </c>
      <c r="C262" t="inlineStr">
        <is>
          <t>$AN$27</t>
        </is>
      </c>
      <c r="D262" t="inlineStr">
        <is>
          <t>input</t>
        </is>
      </c>
      <c r="E262" t="inlineStr">
        <is>
          <t>pct</t>
        </is>
      </c>
      <c r="F262">
        <f>in_pl_growth_oth_laundry</f>
        <v/>
      </c>
      <c r="G262" t="inlineStr">
        <is>
          <t>growth override: Other Income - Laundry/Vending</t>
        </is>
      </c>
    </row>
    <row r="263">
      <c r="A263" s="98" t="inlineStr">
        <is>
          <t>in_pl_growth_oth_parking</t>
        </is>
      </c>
      <c r="B263" t="inlineStr">
        <is>
          <t>P&amp;L</t>
        </is>
      </c>
      <c r="C263" t="inlineStr">
        <is>
          <t>$AN$23</t>
        </is>
      </c>
      <c r="D263" t="inlineStr">
        <is>
          <t>input</t>
        </is>
      </c>
      <c r="E263" t="inlineStr">
        <is>
          <t>pct</t>
        </is>
      </c>
      <c r="F263">
        <f>in_pl_growth_oth_parking</f>
        <v/>
      </c>
      <c r="G263" t="inlineStr">
        <is>
          <t>growth override: Other Income - Parking Income</t>
        </is>
      </c>
    </row>
    <row r="264">
      <c r="A264" s="98" t="inlineStr">
        <is>
          <t>in_pl_growth_oth_pet</t>
        </is>
      </c>
      <c r="B264" t="inlineStr">
        <is>
          <t>P&amp;L</t>
        </is>
      </c>
      <c r="C264" t="inlineStr">
        <is>
          <t>$AN$24</t>
        </is>
      </c>
      <c r="D264" t="inlineStr">
        <is>
          <t>input</t>
        </is>
      </c>
      <c r="E264" t="inlineStr">
        <is>
          <t>pct</t>
        </is>
      </c>
      <c r="F264">
        <f>in_pl_growth_oth_pet</f>
        <v/>
      </c>
      <c r="G264" t="inlineStr">
        <is>
          <t>growth override: Other Income - Pet Rent/Fees</t>
        </is>
      </c>
    </row>
    <row r="265">
      <c r="A265" s="98" t="inlineStr">
        <is>
          <t>in_pl_growth_oth_storage</t>
        </is>
      </c>
      <c r="B265" t="inlineStr">
        <is>
          <t>P&amp;L</t>
        </is>
      </c>
      <c r="C265" t="inlineStr">
        <is>
          <t>$AN$26</t>
        </is>
      </c>
      <c r="D265" t="inlineStr">
        <is>
          <t>input</t>
        </is>
      </c>
      <c r="E265" t="inlineStr">
        <is>
          <t>pct</t>
        </is>
      </c>
      <c r="F265">
        <f>in_pl_growth_oth_storage</f>
        <v/>
      </c>
      <c r="G265" t="inlineStr">
        <is>
          <t>growth override: Other Income - Storage</t>
        </is>
      </c>
    </row>
    <row r="266">
      <c r="A266" s="98" t="inlineStr">
        <is>
          <t>in_pl_growth_other</t>
        </is>
      </c>
      <c r="B266" t="inlineStr">
        <is>
          <t>P&amp;L</t>
        </is>
      </c>
      <c r="C266" t="inlineStr">
        <is>
          <t>$AN$21</t>
        </is>
      </c>
      <c r="D266" t="inlineStr">
        <is>
          <t>input</t>
        </is>
      </c>
      <c r="E266" t="inlineStr">
        <is>
          <t>pct</t>
        </is>
      </c>
      <c r="F266">
        <f>in_pl_growth_other</f>
        <v/>
      </c>
      <c r="G266" t="inlineStr">
        <is>
          <t>growth override: Other Income</t>
        </is>
      </c>
    </row>
    <row r="267">
      <c r="A267" s="98" t="inlineStr">
        <is>
          <t>in_pl_growth_reimb</t>
        </is>
      </c>
      <c r="B267" t="inlineStr">
        <is>
          <t>P&amp;L</t>
        </is>
      </c>
      <c r="C267" t="inlineStr">
        <is>
          <t>$AN$14</t>
        </is>
      </c>
      <c r="D267" t="inlineStr">
        <is>
          <t>input</t>
        </is>
      </c>
      <c r="E267" t="inlineStr">
        <is>
          <t>pct</t>
        </is>
      </c>
      <c r="F267">
        <f>in_pl_growth_reimb</f>
        <v/>
      </c>
      <c r="G267" t="inlineStr">
        <is>
          <t>growth override: Reimbursements (RUBS)</t>
        </is>
      </c>
    </row>
    <row r="268">
      <c r="A268" s="98" t="inlineStr">
        <is>
          <t>in_pl_growth_reimb_electric</t>
        </is>
      </c>
      <c r="B268" t="inlineStr">
        <is>
          <t>P&amp;L</t>
        </is>
      </c>
      <c r="C268" t="inlineStr">
        <is>
          <t>$AN$16</t>
        </is>
      </c>
      <c r="D268" t="inlineStr">
        <is>
          <t>input</t>
        </is>
      </c>
      <c r="E268" t="inlineStr">
        <is>
          <t>pct</t>
        </is>
      </c>
      <c r="F268">
        <f>in_pl_growth_reimb_electric</f>
        <v/>
      </c>
      <c r="G268" t="inlineStr">
        <is>
          <t>growth override: Reimbursements (RUBS) - Electric</t>
        </is>
      </c>
    </row>
    <row r="269">
      <c r="A269" s="98" t="inlineStr">
        <is>
          <t>in_pl_growth_reimb_gas</t>
        </is>
      </c>
      <c r="B269" t="inlineStr">
        <is>
          <t>P&amp;L</t>
        </is>
      </c>
      <c r="C269" t="inlineStr">
        <is>
          <t>$AN$18</t>
        </is>
      </c>
      <c r="D269" t="inlineStr">
        <is>
          <t>input</t>
        </is>
      </c>
      <c r="E269" t="inlineStr">
        <is>
          <t>pct</t>
        </is>
      </c>
      <c r="F269">
        <f>in_pl_growth_reimb_gas</f>
        <v/>
      </c>
      <c r="G269" t="inlineStr">
        <is>
          <t>growth override: Reimbursements (RUBS) - Gas</t>
        </is>
      </c>
    </row>
    <row r="270">
      <c r="A270" s="98" t="inlineStr">
        <is>
          <t>in_pl_growth_reimb_general</t>
        </is>
      </c>
      <c r="B270" t="inlineStr">
        <is>
          <t>P&amp;L</t>
        </is>
      </c>
      <c r="C270" t="inlineStr">
        <is>
          <t>$AN$15</t>
        </is>
      </c>
      <c r="D270" t="inlineStr">
        <is>
          <t>input</t>
        </is>
      </c>
      <c r="E270" t="inlineStr">
        <is>
          <t>pct</t>
        </is>
      </c>
      <c r="F270">
        <f>in_pl_growth_reimb_general</f>
        <v/>
      </c>
      <c r="G270" t="inlineStr">
        <is>
          <t>growth override: Reimbursements (RUBS) - General</t>
        </is>
      </c>
    </row>
    <row r="271">
      <c r="A271" s="98" t="inlineStr">
        <is>
          <t>in_pl_growth_reimb_trash</t>
        </is>
      </c>
      <c r="B271" t="inlineStr">
        <is>
          <t>P&amp;L</t>
        </is>
      </c>
      <c r="C271" t="inlineStr">
        <is>
          <t>$AN$19</t>
        </is>
      </c>
      <c r="D271" t="inlineStr">
        <is>
          <t>input</t>
        </is>
      </c>
      <c r="E271" t="inlineStr">
        <is>
          <t>pct</t>
        </is>
      </c>
      <c r="F271">
        <f>in_pl_growth_reimb_trash</f>
        <v/>
      </c>
      <c r="G271" t="inlineStr">
        <is>
          <t>growth override: Reimbursements (RUBS) - Trash</t>
        </is>
      </c>
    </row>
    <row r="272">
      <c r="A272" s="98" t="inlineStr">
        <is>
          <t>in_pl_growth_reimb_water</t>
        </is>
      </c>
      <c r="B272" t="inlineStr">
        <is>
          <t>P&amp;L</t>
        </is>
      </c>
      <c r="C272" t="inlineStr">
        <is>
          <t>$AN$17</t>
        </is>
      </c>
      <c r="D272" t="inlineStr">
        <is>
          <t>input</t>
        </is>
      </c>
      <c r="E272" t="inlineStr">
        <is>
          <t>pct</t>
        </is>
      </c>
      <c r="F272">
        <f>in_pl_growth_reimb_water</f>
        <v/>
      </c>
      <c r="G272" t="inlineStr">
        <is>
          <t>growth override: Reimbursements (RUBS) - Water/Sewer</t>
        </is>
      </c>
    </row>
    <row r="273">
      <c r="A273" s="98" t="inlineStr">
        <is>
          <t>in_pl_growth_rm</t>
        </is>
      </c>
      <c r="B273" t="inlineStr">
        <is>
          <t>P&amp;L</t>
        </is>
      </c>
      <c r="C273" t="inlineStr">
        <is>
          <t>$AN$34</t>
        </is>
      </c>
      <c r="D273" t="inlineStr">
        <is>
          <t>input</t>
        </is>
      </c>
      <c r="E273" t="inlineStr">
        <is>
          <t>pct</t>
        </is>
      </c>
      <c r="F273">
        <f>in_pl_growth_rm</f>
        <v/>
      </c>
      <c r="G273" t="inlineStr">
        <is>
          <t>growth override: Repairs and Maintenance</t>
        </is>
      </c>
    </row>
    <row r="274">
      <c r="A274" s="98" t="inlineStr">
        <is>
          <t>in_pl_growth_rm_contract</t>
        </is>
      </c>
      <c r="B274" t="inlineStr">
        <is>
          <t>P&amp;L</t>
        </is>
      </c>
      <c r="C274" t="inlineStr">
        <is>
          <t>$AN$36</t>
        </is>
      </c>
      <c r="D274" t="inlineStr">
        <is>
          <t>input</t>
        </is>
      </c>
      <c r="E274" t="inlineStr">
        <is>
          <t>pct</t>
        </is>
      </c>
      <c r="F274">
        <f>in_pl_growth_rm_contract</f>
        <v/>
      </c>
      <c r="G274" t="inlineStr">
        <is>
          <t>growth override: Repairs and Maintenance - Contract Services</t>
        </is>
      </c>
    </row>
    <row r="275">
      <c r="A275" s="98" t="inlineStr">
        <is>
          <t>in_pl_growth_rm_general</t>
        </is>
      </c>
      <c r="B275" t="inlineStr">
        <is>
          <t>P&amp;L</t>
        </is>
      </c>
      <c r="C275" t="inlineStr">
        <is>
          <t>$AN$35</t>
        </is>
      </c>
      <c r="D275" t="inlineStr">
        <is>
          <t>input</t>
        </is>
      </c>
      <c r="E275" t="inlineStr">
        <is>
          <t>pct</t>
        </is>
      </c>
      <c r="F275">
        <f>in_pl_growth_rm_general</f>
        <v/>
      </c>
      <c r="G275" t="inlineStr">
        <is>
          <t>growth override: Repairs and Maintenance - General</t>
        </is>
      </c>
    </row>
    <row r="276">
      <c r="A276" s="98" t="inlineStr">
        <is>
          <t>in_pl_growth_rm_turnover</t>
        </is>
      </c>
      <c r="B276" t="inlineStr">
        <is>
          <t>P&amp;L</t>
        </is>
      </c>
      <c r="C276" t="inlineStr">
        <is>
          <t>$AN$37</t>
        </is>
      </c>
      <c r="D276" t="inlineStr">
        <is>
          <t>input</t>
        </is>
      </c>
      <c r="E276" t="inlineStr">
        <is>
          <t>pct</t>
        </is>
      </c>
      <c r="F276">
        <f>in_pl_growth_rm_turnover</f>
        <v/>
      </c>
      <c r="G276" t="inlineStr">
        <is>
          <t>growth override: Repairs and Maintenance - Turnover</t>
        </is>
      </c>
    </row>
    <row r="277">
      <c r="A277" s="98" t="inlineStr">
        <is>
          <t>in_pl_growth_salaries</t>
        </is>
      </c>
      <c r="B277" t="inlineStr">
        <is>
          <t>P&amp;L</t>
        </is>
      </c>
      <c r="C277" t="inlineStr">
        <is>
          <t>$AN$33</t>
        </is>
      </c>
      <c r="D277" t="inlineStr">
        <is>
          <t>input</t>
        </is>
      </c>
      <c r="E277" t="inlineStr">
        <is>
          <t>pct</t>
        </is>
      </c>
      <c r="F277">
        <f>in_pl_growth_salaries</f>
        <v/>
      </c>
      <c r="G277" t="inlineStr">
        <is>
          <t>growth override: Salaries</t>
        </is>
      </c>
    </row>
    <row r="278">
      <c r="A278" s="98" t="inlineStr">
        <is>
          <t>in_pl_growth_taxes</t>
        </is>
      </c>
      <c r="B278" t="inlineStr">
        <is>
          <t>P&amp;L</t>
        </is>
      </c>
      <c r="C278" t="inlineStr">
        <is>
          <t>$AN$31</t>
        </is>
      </c>
      <c r="D278" t="inlineStr">
        <is>
          <t>input</t>
        </is>
      </c>
      <c r="E278" t="inlineStr">
        <is>
          <t>pct</t>
        </is>
      </c>
      <c r="F278">
        <f>in_pl_growth_taxes</f>
        <v/>
      </c>
      <c r="G278" t="inlineStr">
        <is>
          <t>growth override: Real Estate Taxes</t>
        </is>
      </c>
    </row>
    <row r="279">
      <c r="A279" s="98" t="inlineStr">
        <is>
          <t>in_pl_growth_unmapped</t>
        </is>
      </c>
      <c r="B279" t="inlineStr">
        <is>
          <t>P&amp;L</t>
        </is>
      </c>
      <c r="C279" t="inlineStr">
        <is>
          <t>$AN$47</t>
        </is>
      </c>
      <c r="D279" t="inlineStr">
        <is>
          <t>input</t>
        </is>
      </c>
      <c r="E279" t="inlineStr">
        <is>
          <t>pct</t>
        </is>
      </c>
      <c r="F279">
        <f>in_pl_growth_unmapped</f>
        <v/>
      </c>
      <c r="G279" t="inlineStr">
        <is>
          <t>growth override: Other / Unmapped</t>
        </is>
      </c>
    </row>
    <row r="280">
      <c r="A280" s="98" t="inlineStr">
        <is>
          <t>in_pl_growth_util_electric</t>
        </is>
      </c>
      <c r="B280" t="inlineStr">
        <is>
          <t>P&amp;L</t>
        </is>
      </c>
      <c r="C280" t="inlineStr">
        <is>
          <t>$AN$40</t>
        </is>
      </c>
      <c r="D280" t="inlineStr">
        <is>
          <t>input</t>
        </is>
      </c>
      <c r="E280" t="inlineStr">
        <is>
          <t>pct</t>
        </is>
      </c>
      <c r="F280">
        <f>in_pl_growth_util_electric</f>
        <v/>
      </c>
      <c r="G280" t="inlineStr">
        <is>
          <t>growth override: Utilities - Electric</t>
        </is>
      </c>
    </row>
    <row r="281">
      <c r="A281" s="98" t="inlineStr">
        <is>
          <t>in_pl_growth_util_gas</t>
        </is>
      </c>
      <c r="B281" t="inlineStr">
        <is>
          <t>P&amp;L</t>
        </is>
      </c>
      <c r="C281" t="inlineStr">
        <is>
          <t>$AN$42</t>
        </is>
      </c>
      <c r="D281" t="inlineStr">
        <is>
          <t>input</t>
        </is>
      </c>
      <c r="E281" t="inlineStr">
        <is>
          <t>pct</t>
        </is>
      </c>
      <c r="F281">
        <f>in_pl_growth_util_gas</f>
        <v/>
      </c>
      <c r="G281" t="inlineStr">
        <is>
          <t>growth override: Utilities - Gas</t>
        </is>
      </c>
    </row>
    <row r="282">
      <c r="A282" s="98" t="inlineStr">
        <is>
          <t>in_pl_growth_util_general</t>
        </is>
      </c>
      <c r="B282" t="inlineStr">
        <is>
          <t>P&amp;L</t>
        </is>
      </c>
      <c r="C282" t="inlineStr">
        <is>
          <t>$AN$39</t>
        </is>
      </c>
      <c r="D282" t="inlineStr">
        <is>
          <t>input</t>
        </is>
      </c>
      <c r="E282" t="inlineStr">
        <is>
          <t>pct</t>
        </is>
      </c>
      <c r="F282">
        <f>in_pl_growth_util_general</f>
        <v/>
      </c>
      <c r="G282" t="inlineStr">
        <is>
          <t>growth override: Utilities - General</t>
        </is>
      </c>
    </row>
    <row r="283">
      <c r="A283" s="98" t="inlineStr">
        <is>
          <t>in_pl_growth_util_trash</t>
        </is>
      </c>
      <c r="B283" t="inlineStr">
        <is>
          <t>P&amp;L</t>
        </is>
      </c>
      <c r="C283" t="inlineStr">
        <is>
          <t>$AN$43</t>
        </is>
      </c>
      <c r="D283" t="inlineStr">
        <is>
          <t>input</t>
        </is>
      </c>
      <c r="E283" t="inlineStr">
        <is>
          <t>pct</t>
        </is>
      </c>
      <c r="F283">
        <f>in_pl_growth_util_trash</f>
        <v/>
      </c>
      <c r="G283" t="inlineStr">
        <is>
          <t>growth override: Utilities - Trash</t>
        </is>
      </c>
    </row>
    <row r="284">
      <c r="A284" s="98" t="inlineStr">
        <is>
          <t>in_pl_growth_util_water</t>
        </is>
      </c>
      <c r="B284" t="inlineStr">
        <is>
          <t>P&amp;L</t>
        </is>
      </c>
      <c r="C284" t="inlineStr">
        <is>
          <t>$AN$41</t>
        </is>
      </c>
      <c r="D284" t="inlineStr">
        <is>
          <t>input</t>
        </is>
      </c>
      <c r="E284" t="inlineStr">
        <is>
          <t>pct</t>
        </is>
      </c>
      <c r="F284">
        <f>in_pl_growth_util_water</f>
        <v/>
      </c>
      <c r="G284" t="inlineStr">
        <is>
          <t>growth override: Utilities - Water/Sewer</t>
        </is>
      </c>
    </row>
    <row r="285">
      <c r="A285" s="98" t="inlineStr">
        <is>
          <t>in_pl_growth_utilities</t>
        </is>
      </c>
      <c r="B285" t="inlineStr">
        <is>
          <t>P&amp;L</t>
        </is>
      </c>
      <c r="C285" t="inlineStr">
        <is>
          <t>$AN$38</t>
        </is>
      </c>
      <c r="D285" t="inlineStr">
        <is>
          <t>input</t>
        </is>
      </c>
      <c r="E285" t="inlineStr">
        <is>
          <t>pct</t>
        </is>
      </c>
      <c r="F285">
        <f>in_pl_growth_utilities</f>
        <v/>
      </c>
      <c r="G285" t="inlineStr">
        <is>
          <t>growth override: Utilities</t>
        </is>
      </c>
    </row>
    <row r="286">
      <c r="A286" s="98" t="inlineStr">
        <is>
          <t>in_pl_growth_vacancy</t>
        </is>
      </c>
      <c r="B286" t="inlineStr">
        <is>
          <t>P&amp;L</t>
        </is>
      </c>
      <c r="C286" t="inlineStr">
        <is>
          <t>$AN$10</t>
        </is>
      </c>
      <c r="D286" t="inlineStr">
        <is>
          <t>input</t>
        </is>
      </c>
      <c r="E286" t="inlineStr">
        <is>
          <t>pct</t>
        </is>
      </c>
      <c r="F286">
        <f>in_pl_growth_vacancy</f>
        <v/>
      </c>
      <c r="G286" t="inlineStr">
        <is>
          <t>growth override: Vacancy</t>
        </is>
      </c>
    </row>
    <row r="287">
      <c r="A287" s="98" t="inlineStr">
        <is>
          <t>in_pl_rampup_admin</t>
        </is>
      </c>
      <c r="B287" t="inlineStr">
        <is>
          <t>P&amp;L</t>
        </is>
      </c>
      <c r="C287" t="inlineStr">
        <is>
          <t>$AO$45</t>
        </is>
      </c>
      <c r="D287" t="inlineStr">
        <is>
          <t>input</t>
        </is>
      </c>
      <c r="E287" t="inlineStr">
        <is>
          <t>int</t>
        </is>
      </c>
      <c r="F287">
        <f>in_pl_rampup_admin</f>
        <v/>
      </c>
      <c r="G287" t="inlineStr">
        <is>
          <t>ramp-up years: Administrative</t>
        </is>
      </c>
    </row>
    <row r="288">
      <c r="A288" s="98" t="inlineStr">
        <is>
          <t>in_pl_rampup_bad_debt</t>
        </is>
      </c>
      <c r="B288" t="inlineStr">
        <is>
          <t>P&amp;L</t>
        </is>
      </c>
      <c r="C288" t="inlineStr">
        <is>
          <t>$AO$13</t>
        </is>
      </c>
      <c r="D288" t="inlineStr">
        <is>
          <t>input</t>
        </is>
      </c>
      <c r="E288" t="inlineStr">
        <is>
          <t>int</t>
        </is>
      </c>
      <c r="F288">
        <f>in_pl_rampup_bad_debt</f>
        <v/>
      </c>
      <c r="G288" t="inlineStr">
        <is>
          <t>ramp-up years: Bad Debt/Collection Loss</t>
        </is>
      </c>
    </row>
    <row r="289">
      <c r="A289" s="98" t="inlineStr">
        <is>
          <t>in_pl_rampup_commercial</t>
        </is>
      </c>
      <c r="B289" t="inlineStr">
        <is>
          <t>P&amp;L</t>
        </is>
      </c>
      <c r="C289" t="inlineStr">
        <is>
          <t>$AO$20</t>
        </is>
      </c>
      <c r="D289" t="inlineStr">
        <is>
          <t>input</t>
        </is>
      </c>
      <c r="E289" t="inlineStr">
        <is>
          <t>int</t>
        </is>
      </c>
      <c r="F289">
        <f>in_pl_rampup_commercial</f>
        <v/>
      </c>
      <c r="G289" t="inlineStr">
        <is>
          <t>ramp-up years: Commercial Rent</t>
        </is>
      </c>
    </row>
    <row r="290">
      <c r="A290" s="98" t="inlineStr">
        <is>
          <t>in_pl_rampup_concessions</t>
        </is>
      </c>
      <c r="B290" t="inlineStr">
        <is>
          <t>P&amp;L</t>
        </is>
      </c>
      <c r="C290" t="inlineStr">
        <is>
          <t>$AO$12</t>
        </is>
      </c>
      <c r="D290" t="inlineStr">
        <is>
          <t>input</t>
        </is>
      </c>
      <c r="E290" t="inlineStr">
        <is>
          <t>int</t>
        </is>
      </c>
      <c r="F290">
        <f>in_pl_rampup_concessions</f>
        <v/>
      </c>
      <c r="G290" t="inlineStr">
        <is>
          <t>ramp-up years: Concessions</t>
        </is>
      </c>
    </row>
    <row r="291">
      <c r="A291" s="98" t="inlineStr">
        <is>
          <t>in_pl_rampup_gpr</t>
        </is>
      </c>
      <c r="B291" t="inlineStr">
        <is>
          <t>P&amp;L</t>
        </is>
      </c>
      <c r="C291" t="inlineStr">
        <is>
          <t>$AO$8</t>
        </is>
      </c>
      <c r="D291" t="inlineStr">
        <is>
          <t>input</t>
        </is>
      </c>
      <c r="E291" t="inlineStr">
        <is>
          <t>int</t>
        </is>
      </c>
      <c r="F291">
        <f>in_pl_rampup_gpr</f>
        <v/>
      </c>
      <c r="G291" t="inlineStr">
        <is>
          <t>ramp-up years: Residential Income (GPR)</t>
        </is>
      </c>
    </row>
    <row r="292">
      <c r="A292" s="98" t="inlineStr">
        <is>
          <t>in_pl_rampup_insurance</t>
        </is>
      </c>
      <c r="B292" t="inlineStr">
        <is>
          <t>P&amp;L</t>
        </is>
      </c>
      <c r="C292" t="inlineStr">
        <is>
          <t>$AO$32</t>
        </is>
      </c>
      <c r="D292" t="inlineStr">
        <is>
          <t>input</t>
        </is>
      </c>
      <c r="E292" t="inlineStr">
        <is>
          <t>int</t>
        </is>
      </c>
      <c r="F292">
        <f>in_pl_rampup_insurance</f>
        <v/>
      </c>
      <c r="G292" t="inlineStr">
        <is>
          <t>ramp-up years: Insurance</t>
        </is>
      </c>
    </row>
    <row r="293">
      <c r="A293" s="98" t="inlineStr">
        <is>
          <t>in_pl_rampup_ltl</t>
        </is>
      </c>
      <c r="B293" t="inlineStr">
        <is>
          <t>P&amp;L</t>
        </is>
      </c>
      <c r="C293" t="inlineStr">
        <is>
          <t>$AO$9</t>
        </is>
      </c>
      <c r="D293" t="inlineStr">
        <is>
          <t>input</t>
        </is>
      </c>
      <c r="E293" t="inlineStr">
        <is>
          <t>int</t>
        </is>
      </c>
      <c r="F293">
        <f>in_pl_rampup_ltl</f>
        <v/>
      </c>
      <c r="G293" t="inlineStr">
        <is>
          <t>ramp-up years: Loss to Lease</t>
        </is>
      </c>
    </row>
    <row r="294">
      <c r="A294" s="98" t="inlineStr">
        <is>
          <t>in_pl_rampup_marketing</t>
        </is>
      </c>
      <c r="B294" t="inlineStr">
        <is>
          <t>P&amp;L</t>
        </is>
      </c>
      <c r="C294" t="inlineStr">
        <is>
          <t>$AO$44</t>
        </is>
      </c>
      <c r="D294" t="inlineStr">
        <is>
          <t>input</t>
        </is>
      </c>
      <c r="E294" t="inlineStr">
        <is>
          <t>int</t>
        </is>
      </c>
      <c r="F294">
        <f>in_pl_rampup_marketing</f>
        <v/>
      </c>
      <c r="G294" t="inlineStr">
        <is>
          <t>ramp-up years: Marketing/Advertising</t>
        </is>
      </c>
    </row>
    <row r="295">
      <c r="A295" s="98" t="inlineStr">
        <is>
          <t>in_pl_rampup_mgmt</t>
        </is>
      </c>
      <c r="B295" t="inlineStr">
        <is>
          <t>P&amp;L</t>
        </is>
      </c>
      <c r="C295" t="inlineStr">
        <is>
          <t>$AO$46</t>
        </is>
      </c>
      <c r="D295" t="inlineStr">
        <is>
          <t>input</t>
        </is>
      </c>
      <c r="E295" t="inlineStr">
        <is>
          <t>int</t>
        </is>
      </c>
      <c r="F295">
        <f>in_pl_rampup_mgmt</f>
        <v/>
      </c>
      <c r="G295" t="inlineStr">
        <is>
          <t>ramp-up years: Property Management</t>
        </is>
      </c>
    </row>
    <row r="296">
      <c r="A296" s="98" t="inlineStr">
        <is>
          <t>in_pl_rampup_nonrev</t>
        </is>
      </c>
      <c r="B296" t="inlineStr">
        <is>
          <t>P&amp;L</t>
        </is>
      </c>
      <c r="C296" t="inlineStr">
        <is>
          <t>$AO$11</t>
        </is>
      </c>
      <c r="D296" t="inlineStr">
        <is>
          <t>input</t>
        </is>
      </c>
      <c r="E296" t="inlineStr">
        <is>
          <t>int</t>
        </is>
      </c>
      <c r="F296">
        <f>in_pl_rampup_nonrev</f>
        <v/>
      </c>
      <c r="G296" t="inlineStr">
        <is>
          <t>ramp-up years: Non-Revenue Units</t>
        </is>
      </c>
    </row>
    <row r="297">
      <c r="A297" s="98" t="inlineStr">
        <is>
          <t>in_pl_rampup_oth_fees</t>
        </is>
      </c>
      <c r="B297" t="inlineStr">
        <is>
          <t>P&amp;L</t>
        </is>
      </c>
      <c r="C297" t="inlineStr">
        <is>
          <t>$AO$25</t>
        </is>
      </c>
      <c r="D297" t="inlineStr">
        <is>
          <t>input</t>
        </is>
      </c>
      <c r="E297" t="inlineStr">
        <is>
          <t>int</t>
        </is>
      </c>
      <c r="F297">
        <f>in_pl_rampup_oth_fees</f>
        <v/>
      </c>
      <c r="G297" t="inlineStr">
        <is>
          <t>ramp-up years: Other Income - App/Admin/Late Fees</t>
        </is>
      </c>
    </row>
    <row r="298">
      <c r="A298" s="98" t="inlineStr">
        <is>
          <t>in_pl_rampup_oth_general</t>
        </is>
      </c>
      <c r="B298" t="inlineStr">
        <is>
          <t>P&amp;L</t>
        </is>
      </c>
      <c r="C298" t="inlineStr">
        <is>
          <t>$AO$22</t>
        </is>
      </c>
      <c r="D298" t="inlineStr">
        <is>
          <t>input</t>
        </is>
      </c>
      <c r="E298" t="inlineStr">
        <is>
          <t>int</t>
        </is>
      </c>
      <c r="F298">
        <f>in_pl_rampup_oth_general</f>
        <v/>
      </c>
      <c r="G298" t="inlineStr">
        <is>
          <t>ramp-up years: Other Income - General</t>
        </is>
      </c>
    </row>
    <row r="299">
      <c r="A299" s="98" t="inlineStr">
        <is>
          <t>in_pl_rampup_oth_laundry</t>
        </is>
      </c>
      <c r="B299" t="inlineStr">
        <is>
          <t>P&amp;L</t>
        </is>
      </c>
      <c r="C299" t="inlineStr">
        <is>
          <t>$AO$27</t>
        </is>
      </c>
      <c r="D299" t="inlineStr">
        <is>
          <t>input</t>
        </is>
      </c>
      <c r="E299" t="inlineStr">
        <is>
          <t>int</t>
        </is>
      </c>
      <c r="F299">
        <f>in_pl_rampup_oth_laundry</f>
        <v/>
      </c>
      <c r="G299" t="inlineStr">
        <is>
          <t>ramp-up years: Other Income - Laundry/Vending</t>
        </is>
      </c>
    </row>
    <row r="300">
      <c r="A300" s="98" t="inlineStr">
        <is>
          <t>in_pl_rampup_oth_parking</t>
        </is>
      </c>
      <c r="B300" t="inlineStr">
        <is>
          <t>P&amp;L</t>
        </is>
      </c>
      <c r="C300" t="inlineStr">
        <is>
          <t>$AO$23</t>
        </is>
      </c>
      <c r="D300" t="inlineStr">
        <is>
          <t>input</t>
        </is>
      </c>
      <c r="E300" t="inlineStr">
        <is>
          <t>int</t>
        </is>
      </c>
      <c r="F300">
        <f>in_pl_rampup_oth_parking</f>
        <v/>
      </c>
      <c r="G300" t="inlineStr">
        <is>
          <t>ramp-up years: Other Income - Parking Income</t>
        </is>
      </c>
    </row>
    <row r="301">
      <c r="A301" s="98" t="inlineStr">
        <is>
          <t>in_pl_rampup_oth_pet</t>
        </is>
      </c>
      <c r="B301" t="inlineStr">
        <is>
          <t>P&amp;L</t>
        </is>
      </c>
      <c r="C301" t="inlineStr">
        <is>
          <t>$AO$24</t>
        </is>
      </c>
      <c r="D301" t="inlineStr">
        <is>
          <t>input</t>
        </is>
      </c>
      <c r="E301" t="inlineStr">
        <is>
          <t>int</t>
        </is>
      </c>
      <c r="F301">
        <f>in_pl_rampup_oth_pet</f>
        <v/>
      </c>
      <c r="G301" t="inlineStr">
        <is>
          <t>ramp-up years: Other Income - Pet Rent/Fees</t>
        </is>
      </c>
    </row>
    <row r="302">
      <c r="A302" s="98" t="inlineStr">
        <is>
          <t>in_pl_rampup_oth_storage</t>
        </is>
      </c>
      <c r="B302" t="inlineStr">
        <is>
          <t>P&amp;L</t>
        </is>
      </c>
      <c r="C302" t="inlineStr">
        <is>
          <t>$AO$26</t>
        </is>
      </c>
      <c r="D302" t="inlineStr">
        <is>
          <t>input</t>
        </is>
      </c>
      <c r="E302" t="inlineStr">
        <is>
          <t>int</t>
        </is>
      </c>
      <c r="F302">
        <f>in_pl_rampup_oth_storage</f>
        <v/>
      </c>
      <c r="G302" t="inlineStr">
        <is>
          <t>ramp-up years: Other Income - Storage</t>
        </is>
      </c>
    </row>
    <row r="303">
      <c r="A303" s="98" t="inlineStr">
        <is>
          <t>in_pl_rampup_other</t>
        </is>
      </c>
      <c r="B303" t="inlineStr">
        <is>
          <t>P&amp;L</t>
        </is>
      </c>
      <c r="C303" t="inlineStr">
        <is>
          <t>$AO$21</t>
        </is>
      </c>
      <c r="D303" t="inlineStr">
        <is>
          <t>input</t>
        </is>
      </c>
      <c r="E303" t="inlineStr">
        <is>
          <t>int</t>
        </is>
      </c>
      <c r="F303">
        <f>in_pl_rampup_other</f>
        <v/>
      </c>
      <c r="G303" t="inlineStr">
        <is>
          <t>ramp-up years: Other Income</t>
        </is>
      </c>
    </row>
    <row r="304">
      <c r="A304" s="98" t="inlineStr">
        <is>
          <t>in_pl_rampup_reimb</t>
        </is>
      </c>
      <c r="B304" t="inlineStr">
        <is>
          <t>P&amp;L</t>
        </is>
      </c>
      <c r="C304" t="inlineStr">
        <is>
          <t>$AO$14</t>
        </is>
      </c>
      <c r="D304" t="inlineStr">
        <is>
          <t>input</t>
        </is>
      </c>
      <c r="E304" t="inlineStr">
        <is>
          <t>int</t>
        </is>
      </c>
      <c r="F304">
        <f>in_pl_rampup_reimb</f>
        <v/>
      </c>
      <c r="G304" t="inlineStr">
        <is>
          <t>ramp-up years: Reimbursements (RUBS)</t>
        </is>
      </c>
    </row>
    <row r="305">
      <c r="A305" s="98" t="inlineStr">
        <is>
          <t>in_pl_rampup_reimb_electric</t>
        </is>
      </c>
      <c r="B305" t="inlineStr">
        <is>
          <t>P&amp;L</t>
        </is>
      </c>
      <c r="C305" t="inlineStr">
        <is>
          <t>$AO$16</t>
        </is>
      </c>
      <c r="D305" t="inlineStr">
        <is>
          <t>input</t>
        </is>
      </c>
      <c r="E305" t="inlineStr">
        <is>
          <t>int</t>
        </is>
      </c>
      <c r="F305">
        <f>in_pl_rampup_reimb_electric</f>
        <v/>
      </c>
      <c r="G305" t="inlineStr">
        <is>
          <t>ramp-up years: Reimbursements (RUBS) - Electric</t>
        </is>
      </c>
    </row>
    <row r="306">
      <c r="A306" s="98" t="inlineStr">
        <is>
          <t>in_pl_rampup_reimb_gas</t>
        </is>
      </c>
      <c r="B306" t="inlineStr">
        <is>
          <t>P&amp;L</t>
        </is>
      </c>
      <c r="C306" t="inlineStr">
        <is>
          <t>$AO$18</t>
        </is>
      </c>
      <c r="D306" t="inlineStr">
        <is>
          <t>input</t>
        </is>
      </c>
      <c r="E306" t="inlineStr">
        <is>
          <t>int</t>
        </is>
      </c>
      <c r="F306">
        <f>in_pl_rampup_reimb_gas</f>
        <v/>
      </c>
      <c r="G306" t="inlineStr">
        <is>
          <t>ramp-up years: Reimbursements (RUBS) - Gas</t>
        </is>
      </c>
    </row>
    <row r="307">
      <c r="A307" s="98" t="inlineStr">
        <is>
          <t>in_pl_rampup_reimb_general</t>
        </is>
      </c>
      <c r="B307" t="inlineStr">
        <is>
          <t>P&amp;L</t>
        </is>
      </c>
      <c r="C307" t="inlineStr">
        <is>
          <t>$AO$15</t>
        </is>
      </c>
      <c r="D307" t="inlineStr">
        <is>
          <t>input</t>
        </is>
      </c>
      <c r="E307" t="inlineStr">
        <is>
          <t>int</t>
        </is>
      </c>
      <c r="F307">
        <f>in_pl_rampup_reimb_general</f>
        <v/>
      </c>
      <c r="G307" t="inlineStr">
        <is>
          <t>ramp-up years: Reimbursements (RUBS) - General</t>
        </is>
      </c>
    </row>
    <row r="308">
      <c r="A308" s="98" t="inlineStr">
        <is>
          <t>in_pl_rampup_reimb_trash</t>
        </is>
      </c>
      <c r="B308" t="inlineStr">
        <is>
          <t>P&amp;L</t>
        </is>
      </c>
      <c r="C308" t="inlineStr">
        <is>
          <t>$AO$19</t>
        </is>
      </c>
      <c r="D308" t="inlineStr">
        <is>
          <t>input</t>
        </is>
      </c>
      <c r="E308" t="inlineStr">
        <is>
          <t>int</t>
        </is>
      </c>
      <c r="F308">
        <f>in_pl_rampup_reimb_trash</f>
        <v/>
      </c>
      <c r="G308" t="inlineStr">
        <is>
          <t>ramp-up years: Reimbursements (RUBS) - Trash</t>
        </is>
      </c>
    </row>
    <row r="309">
      <c r="A309" s="98" t="inlineStr">
        <is>
          <t>in_pl_rampup_reimb_water</t>
        </is>
      </c>
      <c r="B309" t="inlineStr">
        <is>
          <t>P&amp;L</t>
        </is>
      </c>
      <c r="C309" t="inlineStr">
        <is>
          <t>$AO$17</t>
        </is>
      </c>
      <c r="D309" t="inlineStr">
        <is>
          <t>input</t>
        </is>
      </c>
      <c r="E309" t="inlineStr">
        <is>
          <t>int</t>
        </is>
      </c>
      <c r="F309">
        <f>in_pl_rampup_reimb_water</f>
        <v/>
      </c>
      <c r="G309" t="inlineStr">
        <is>
          <t>ramp-up years: Reimbursements (RUBS) - Water/Sewer</t>
        </is>
      </c>
    </row>
    <row r="310">
      <c r="A310" s="98" t="inlineStr">
        <is>
          <t>in_pl_rampup_rm</t>
        </is>
      </c>
      <c r="B310" t="inlineStr">
        <is>
          <t>P&amp;L</t>
        </is>
      </c>
      <c r="C310" t="inlineStr">
        <is>
          <t>$AO$34</t>
        </is>
      </c>
      <c r="D310" t="inlineStr">
        <is>
          <t>input</t>
        </is>
      </c>
      <c r="E310" t="inlineStr">
        <is>
          <t>int</t>
        </is>
      </c>
      <c r="F310">
        <f>in_pl_rampup_rm</f>
        <v/>
      </c>
      <c r="G310" t="inlineStr">
        <is>
          <t>ramp-up years: Repairs and Maintenance</t>
        </is>
      </c>
    </row>
    <row r="311">
      <c r="A311" s="98" t="inlineStr">
        <is>
          <t>in_pl_rampup_rm_contract</t>
        </is>
      </c>
      <c r="B311" t="inlineStr">
        <is>
          <t>P&amp;L</t>
        </is>
      </c>
      <c r="C311" t="inlineStr">
        <is>
          <t>$AO$36</t>
        </is>
      </c>
      <c r="D311" t="inlineStr">
        <is>
          <t>input</t>
        </is>
      </c>
      <c r="E311" t="inlineStr">
        <is>
          <t>int</t>
        </is>
      </c>
      <c r="F311">
        <f>in_pl_rampup_rm_contract</f>
        <v/>
      </c>
      <c r="G311" t="inlineStr">
        <is>
          <t>ramp-up years: Repairs and Maintenance - Contract Services</t>
        </is>
      </c>
    </row>
    <row r="312">
      <c r="A312" s="98" t="inlineStr">
        <is>
          <t>in_pl_rampup_rm_general</t>
        </is>
      </c>
      <c r="B312" t="inlineStr">
        <is>
          <t>P&amp;L</t>
        </is>
      </c>
      <c r="C312" t="inlineStr">
        <is>
          <t>$AO$35</t>
        </is>
      </c>
      <c r="D312" t="inlineStr">
        <is>
          <t>input</t>
        </is>
      </c>
      <c r="E312" t="inlineStr">
        <is>
          <t>int</t>
        </is>
      </c>
      <c r="F312">
        <f>in_pl_rampup_rm_general</f>
        <v/>
      </c>
      <c r="G312" t="inlineStr">
        <is>
          <t>ramp-up years: Repairs and Maintenance - General</t>
        </is>
      </c>
    </row>
    <row r="313">
      <c r="A313" s="98" t="inlineStr">
        <is>
          <t>in_pl_rampup_rm_turnover</t>
        </is>
      </c>
      <c r="B313" t="inlineStr">
        <is>
          <t>P&amp;L</t>
        </is>
      </c>
      <c r="C313" t="inlineStr">
        <is>
          <t>$AO$37</t>
        </is>
      </c>
      <c r="D313" t="inlineStr">
        <is>
          <t>input</t>
        </is>
      </c>
      <c r="E313" t="inlineStr">
        <is>
          <t>int</t>
        </is>
      </c>
      <c r="F313">
        <f>in_pl_rampup_rm_turnover</f>
        <v/>
      </c>
      <c r="G313" t="inlineStr">
        <is>
          <t>ramp-up years: Repairs and Maintenance - Turnover</t>
        </is>
      </c>
    </row>
    <row r="314">
      <c r="A314" s="98" t="inlineStr">
        <is>
          <t>in_pl_rampup_salaries</t>
        </is>
      </c>
      <c r="B314" t="inlineStr">
        <is>
          <t>P&amp;L</t>
        </is>
      </c>
      <c r="C314" t="inlineStr">
        <is>
          <t>$AO$33</t>
        </is>
      </c>
      <c r="D314" t="inlineStr">
        <is>
          <t>input</t>
        </is>
      </c>
      <c r="E314" t="inlineStr">
        <is>
          <t>int</t>
        </is>
      </c>
      <c r="F314">
        <f>in_pl_rampup_salaries</f>
        <v/>
      </c>
      <c r="G314" t="inlineStr">
        <is>
          <t>ramp-up years: Salaries</t>
        </is>
      </c>
    </row>
    <row r="315">
      <c r="A315" s="98" t="inlineStr">
        <is>
          <t>in_pl_rampup_taxes</t>
        </is>
      </c>
      <c r="B315" t="inlineStr">
        <is>
          <t>P&amp;L</t>
        </is>
      </c>
      <c r="C315" t="inlineStr">
        <is>
          <t>$AO$31</t>
        </is>
      </c>
      <c r="D315" t="inlineStr">
        <is>
          <t>input</t>
        </is>
      </c>
      <c r="E315" t="inlineStr">
        <is>
          <t>int</t>
        </is>
      </c>
      <c r="F315">
        <f>in_pl_rampup_taxes</f>
        <v/>
      </c>
      <c r="G315" t="inlineStr">
        <is>
          <t>ramp-up years: Real Estate Taxes</t>
        </is>
      </c>
    </row>
    <row r="316">
      <c r="A316" s="98" t="inlineStr">
        <is>
          <t>in_pl_rampup_unmapped</t>
        </is>
      </c>
      <c r="B316" t="inlineStr">
        <is>
          <t>P&amp;L</t>
        </is>
      </c>
      <c r="C316" t="inlineStr">
        <is>
          <t>$AO$47</t>
        </is>
      </c>
      <c r="D316" t="inlineStr">
        <is>
          <t>input</t>
        </is>
      </c>
      <c r="E316" t="inlineStr">
        <is>
          <t>int</t>
        </is>
      </c>
      <c r="F316">
        <f>in_pl_rampup_unmapped</f>
        <v/>
      </c>
      <c r="G316" t="inlineStr">
        <is>
          <t>ramp-up years: Other / Unmapped</t>
        </is>
      </c>
    </row>
    <row r="317">
      <c r="A317" s="98" t="inlineStr">
        <is>
          <t>in_pl_rampup_util_electric</t>
        </is>
      </c>
      <c r="B317" t="inlineStr">
        <is>
          <t>P&amp;L</t>
        </is>
      </c>
      <c r="C317" t="inlineStr">
        <is>
          <t>$AO$40</t>
        </is>
      </c>
      <c r="D317" t="inlineStr">
        <is>
          <t>input</t>
        </is>
      </c>
      <c r="E317" t="inlineStr">
        <is>
          <t>int</t>
        </is>
      </c>
      <c r="F317">
        <f>in_pl_rampup_util_electric</f>
        <v/>
      </c>
      <c r="G317" t="inlineStr">
        <is>
          <t>ramp-up years: Utilities - Electric</t>
        </is>
      </c>
    </row>
    <row r="318">
      <c r="A318" s="98" t="inlineStr">
        <is>
          <t>in_pl_rampup_util_gas</t>
        </is>
      </c>
      <c r="B318" t="inlineStr">
        <is>
          <t>P&amp;L</t>
        </is>
      </c>
      <c r="C318" t="inlineStr">
        <is>
          <t>$AO$42</t>
        </is>
      </c>
      <c r="D318" t="inlineStr">
        <is>
          <t>input</t>
        </is>
      </c>
      <c r="E318" t="inlineStr">
        <is>
          <t>int</t>
        </is>
      </c>
      <c r="F318">
        <f>in_pl_rampup_util_gas</f>
        <v/>
      </c>
      <c r="G318" t="inlineStr">
        <is>
          <t>ramp-up years: Utilities - Gas</t>
        </is>
      </c>
    </row>
    <row r="319">
      <c r="A319" s="98" t="inlineStr">
        <is>
          <t>in_pl_rampup_util_general</t>
        </is>
      </c>
      <c r="B319" t="inlineStr">
        <is>
          <t>P&amp;L</t>
        </is>
      </c>
      <c r="C319" t="inlineStr">
        <is>
          <t>$AO$39</t>
        </is>
      </c>
      <c r="D319" t="inlineStr">
        <is>
          <t>input</t>
        </is>
      </c>
      <c r="E319" t="inlineStr">
        <is>
          <t>int</t>
        </is>
      </c>
      <c r="F319">
        <f>in_pl_rampup_util_general</f>
        <v/>
      </c>
      <c r="G319" t="inlineStr">
        <is>
          <t>ramp-up years: Utilities - General</t>
        </is>
      </c>
    </row>
    <row r="320">
      <c r="A320" s="98" t="inlineStr">
        <is>
          <t>in_pl_rampup_util_trash</t>
        </is>
      </c>
      <c r="B320" t="inlineStr">
        <is>
          <t>P&amp;L</t>
        </is>
      </c>
      <c r="C320" t="inlineStr">
        <is>
          <t>$AO$43</t>
        </is>
      </c>
      <c r="D320" t="inlineStr">
        <is>
          <t>input</t>
        </is>
      </c>
      <c r="E320" t="inlineStr">
        <is>
          <t>int</t>
        </is>
      </c>
      <c r="F320">
        <f>in_pl_rampup_util_trash</f>
        <v/>
      </c>
      <c r="G320" t="inlineStr">
        <is>
          <t>ramp-up years: Utilities - Trash</t>
        </is>
      </c>
    </row>
    <row r="321">
      <c r="A321" s="98" t="inlineStr">
        <is>
          <t>in_pl_rampup_util_water</t>
        </is>
      </c>
      <c r="B321" t="inlineStr">
        <is>
          <t>P&amp;L</t>
        </is>
      </c>
      <c r="C321" t="inlineStr">
        <is>
          <t>$AO$41</t>
        </is>
      </c>
      <c r="D321" t="inlineStr">
        <is>
          <t>input</t>
        </is>
      </c>
      <c r="E321" t="inlineStr">
        <is>
          <t>int</t>
        </is>
      </c>
      <c r="F321">
        <f>in_pl_rampup_util_water</f>
        <v/>
      </c>
      <c r="G321" t="inlineStr">
        <is>
          <t>ramp-up years: Utilities - Water/Sewer</t>
        </is>
      </c>
    </row>
    <row r="322">
      <c r="A322" s="98" t="inlineStr">
        <is>
          <t>in_pl_rampup_utilities</t>
        </is>
      </c>
      <c r="B322" t="inlineStr">
        <is>
          <t>P&amp;L</t>
        </is>
      </c>
      <c r="C322" t="inlineStr">
        <is>
          <t>$AO$38</t>
        </is>
      </c>
      <c r="D322" t="inlineStr">
        <is>
          <t>input</t>
        </is>
      </c>
      <c r="E322" t="inlineStr">
        <is>
          <t>int</t>
        </is>
      </c>
      <c r="F322">
        <f>in_pl_rampup_utilities</f>
        <v/>
      </c>
      <c r="G322" t="inlineStr">
        <is>
          <t>ramp-up years: Utilities</t>
        </is>
      </c>
    </row>
    <row r="323">
      <c r="A323" s="98" t="inlineStr">
        <is>
          <t>in_pl_rampup_vacancy</t>
        </is>
      </c>
      <c r="B323" t="inlineStr">
        <is>
          <t>P&amp;L</t>
        </is>
      </c>
      <c r="C323" t="inlineStr">
        <is>
          <t>$AO$10</t>
        </is>
      </c>
      <c r="D323" t="inlineStr">
        <is>
          <t>input</t>
        </is>
      </c>
      <c r="E323" t="inlineStr">
        <is>
          <t>int</t>
        </is>
      </c>
      <c r="F323">
        <f>in_pl_rampup_vacancy</f>
        <v/>
      </c>
      <c r="G323" t="inlineStr">
        <is>
          <t>ramp-up years: Vacancy</t>
        </is>
      </c>
    </row>
    <row r="324">
      <c r="A324" s="98" t="inlineStr">
        <is>
          <t>in_pl_scen2_admin</t>
        </is>
      </c>
      <c r="B324" t="inlineStr">
        <is>
          <t>P&amp;L</t>
        </is>
      </c>
      <c r="C324" t="inlineStr">
        <is>
          <t>$AF$45</t>
        </is>
      </c>
      <c r="D324" t="inlineStr">
        <is>
          <t>input</t>
        </is>
      </c>
      <c r="E324" t="inlineStr">
        <is>
          <t>currency</t>
        </is>
      </c>
      <c r="F324">
        <f>in_pl_scen2_admin</f>
        <v/>
      </c>
      <c r="G324" t="inlineStr">
        <is>
          <t>scen2 scenario Year 1: Administrative</t>
        </is>
      </c>
    </row>
    <row r="325">
      <c r="A325" s="98" t="inlineStr">
        <is>
          <t>in_pl_scen2_bad_debt</t>
        </is>
      </c>
      <c r="B325" t="inlineStr">
        <is>
          <t>P&amp;L</t>
        </is>
      </c>
      <c r="C325" t="inlineStr">
        <is>
          <t>$AF$13</t>
        </is>
      </c>
      <c r="D325" t="inlineStr">
        <is>
          <t>input</t>
        </is>
      </c>
      <c r="E325" t="inlineStr">
        <is>
          <t>currency</t>
        </is>
      </c>
      <c r="F325">
        <f>in_pl_scen2_bad_debt</f>
        <v/>
      </c>
      <c r="G325" t="inlineStr">
        <is>
          <t>scen2 scenario Year 1: Bad Debt/Collection Loss</t>
        </is>
      </c>
    </row>
    <row r="326">
      <c r="A326" s="98" t="inlineStr">
        <is>
          <t>in_pl_scen2_commercial</t>
        </is>
      </c>
      <c r="B326" t="inlineStr">
        <is>
          <t>P&amp;L</t>
        </is>
      </c>
      <c r="C326" t="inlineStr">
        <is>
          <t>$AF$20</t>
        </is>
      </c>
      <c r="D326" t="inlineStr">
        <is>
          <t>input</t>
        </is>
      </c>
      <c r="E326" t="inlineStr">
        <is>
          <t>currency</t>
        </is>
      </c>
      <c r="F326">
        <f>in_pl_scen2_commercial</f>
        <v/>
      </c>
      <c r="G326" t="inlineStr">
        <is>
          <t>scen2 scenario Year 1: Commercial Rent</t>
        </is>
      </c>
    </row>
    <row r="327">
      <c r="A327" s="98" t="inlineStr">
        <is>
          <t>in_pl_scen2_concessions</t>
        </is>
      </c>
      <c r="B327" t="inlineStr">
        <is>
          <t>P&amp;L</t>
        </is>
      </c>
      <c r="C327" t="inlineStr">
        <is>
          <t>$AF$12</t>
        </is>
      </c>
      <c r="D327" t="inlineStr">
        <is>
          <t>input</t>
        </is>
      </c>
      <c r="E327" t="inlineStr">
        <is>
          <t>currency</t>
        </is>
      </c>
      <c r="F327">
        <f>in_pl_scen2_concessions</f>
        <v/>
      </c>
      <c r="G327" t="inlineStr">
        <is>
          <t>scen2 scenario Year 1: Concessions</t>
        </is>
      </c>
    </row>
    <row r="328">
      <c r="A328" s="98" t="inlineStr">
        <is>
          <t>in_pl_scen2_gpr</t>
        </is>
      </c>
      <c r="B328" t="inlineStr">
        <is>
          <t>P&amp;L</t>
        </is>
      </c>
      <c r="C328" t="inlineStr">
        <is>
          <t>$AF$8</t>
        </is>
      </c>
      <c r="D328" t="inlineStr">
        <is>
          <t>input</t>
        </is>
      </c>
      <c r="E328" t="inlineStr">
        <is>
          <t>currency</t>
        </is>
      </c>
      <c r="F328">
        <f>in_pl_scen2_gpr</f>
        <v/>
      </c>
      <c r="G328" t="inlineStr">
        <is>
          <t>scen2 scenario Year 1: Residential Income (GPR)</t>
        </is>
      </c>
    </row>
    <row r="329">
      <c r="A329" s="98" t="inlineStr">
        <is>
          <t>in_pl_scen2_insurance</t>
        </is>
      </c>
      <c r="B329" t="inlineStr">
        <is>
          <t>P&amp;L</t>
        </is>
      </c>
      <c r="C329" t="inlineStr">
        <is>
          <t>$AF$32</t>
        </is>
      </c>
      <c r="D329" t="inlineStr">
        <is>
          <t>input</t>
        </is>
      </c>
      <c r="E329" t="inlineStr">
        <is>
          <t>currency</t>
        </is>
      </c>
      <c r="F329">
        <f>in_pl_scen2_insurance</f>
        <v/>
      </c>
      <c r="G329" t="inlineStr">
        <is>
          <t>scen2 scenario Year 1: Insurance</t>
        </is>
      </c>
    </row>
    <row r="330">
      <c r="A330" s="98" t="inlineStr">
        <is>
          <t>in_pl_scen2_ltl</t>
        </is>
      </c>
      <c r="B330" t="inlineStr">
        <is>
          <t>P&amp;L</t>
        </is>
      </c>
      <c r="C330" t="inlineStr">
        <is>
          <t>$AF$9</t>
        </is>
      </c>
      <c r="D330" t="inlineStr">
        <is>
          <t>input</t>
        </is>
      </c>
      <c r="E330" t="inlineStr">
        <is>
          <t>currency</t>
        </is>
      </c>
      <c r="F330">
        <f>in_pl_scen2_ltl</f>
        <v/>
      </c>
      <c r="G330" t="inlineStr">
        <is>
          <t>scen2 scenario Year 1: Loss to Lease</t>
        </is>
      </c>
    </row>
    <row r="331">
      <c r="A331" s="98" t="inlineStr">
        <is>
          <t>in_pl_scen2_marketing</t>
        </is>
      </c>
      <c r="B331" t="inlineStr">
        <is>
          <t>P&amp;L</t>
        </is>
      </c>
      <c r="C331" t="inlineStr">
        <is>
          <t>$AF$44</t>
        </is>
      </c>
      <c r="D331" t="inlineStr">
        <is>
          <t>input</t>
        </is>
      </c>
      <c r="E331" t="inlineStr">
        <is>
          <t>currency</t>
        </is>
      </c>
      <c r="F331">
        <f>in_pl_scen2_marketing</f>
        <v/>
      </c>
      <c r="G331" t="inlineStr">
        <is>
          <t>scen2 scenario Year 1: Marketing/Advertising</t>
        </is>
      </c>
    </row>
    <row r="332">
      <c r="A332" s="98" t="inlineStr">
        <is>
          <t>in_pl_scen2_mgmt</t>
        </is>
      </c>
      <c r="B332" t="inlineStr">
        <is>
          <t>P&amp;L</t>
        </is>
      </c>
      <c r="C332" t="inlineStr">
        <is>
          <t>$AF$46</t>
        </is>
      </c>
      <c r="D332" t="inlineStr">
        <is>
          <t>input</t>
        </is>
      </c>
      <c r="E332" t="inlineStr">
        <is>
          <t>currency</t>
        </is>
      </c>
      <c r="F332">
        <f>in_pl_scen2_mgmt</f>
        <v/>
      </c>
      <c r="G332" t="inlineStr">
        <is>
          <t>scen2 scenario Year 1: Property Management</t>
        </is>
      </c>
    </row>
    <row r="333">
      <c r="A333" s="98" t="inlineStr">
        <is>
          <t>in_pl_scen2_name</t>
        </is>
      </c>
      <c r="B333" t="inlineStr">
        <is>
          <t>P&amp;L</t>
        </is>
      </c>
      <c r="C333" t="inlineStr">
        <is>
          <t>$AF$6</t>
        </is>
      </c>
      <c r="D333" t="inlineStr">
        <is>
          <t>input</t>
        </is>
      </c>
      <c r="E333" t="inlineStr">
        <is>
          <t>text</t>
        </is>
      </c>
      <c r="F333">
        <f>in_pl_scen2_name</f>
        <v/>
      </c>
      <c r="G333" t="inlineStr">
        <is>
          <t>scen2 scenario column name — shown in the P&amp;L header and in the scenario dropdown</t>
        </is>
      </c>
      <c r="H333" s="95" t="inlineStr">
        <is>
          <t>'="Scenario 2"</t>
        </is>
      </c>
    </row>
    <row r="334">
      <c r="A334" s="98" t="inlineStr">
        <is>
          <t>in_pl_scen2_nonrev</t>
        </is>
      </c>
      <c r="B334" t="inlineStr">
        <is>
          <t>P&amp;L</t>
        </is>
      </c>
      <c r="C334" t="inlineStr">
        <is>
          <t>$AF$11</t>
        </is>
      </c>
      <c r="D334" t="inlineStr">
        <is>
          <t>input</t>
        </is>
      </c>
      <c r="E334" t="inlineStr">
        <is>
          <t>currency</t>
        </is>
      </c>
      <c r="F334">
        <f>in_pl_scen2_nonrev</f>
        <v/>
      </c>
      <c r="G334" t="inlineStr">
        <is>
          <t>scen2 scenario Year 1: Non-Revenue Units</t>
        </is>
      </c>
    </row>
    <row r="335">
      <c r="A335" s="98" t="inlineStr">
        <is>
          <t>in_pl_scen2_oth_fees</t>
        </is>
      </c>
      <c r="B335" t="inlineStr">
        <is>
          <t>P&amp;L</t>
        </is>
      </c>
      <c r="C335" t="inlineStr">
        <is>
          <t>$AF$25</t>
        </is>
      </c>
      <c r="D335" t="inlineStr">
        <is>
          <t>input</t>
        </is>
      </c>
      <c r="E335" t="inlineStr">
        <is>
          <t>currency</t>
        </is>
      </c>
      <c r="F335">
        <f>in_pl_scen2_oth_fees</f>
        <v/>
      </c>
      <c r="G335" t="inlineStr">
        <is>
          <t>scen2 scenario Year 1: Other Income - App/Admin/Late Fees</t>
        </is>
      </c>
    </row>
    <row r="336">
      <c r="A336" s="98" t="inlineStr">
        <is>
          <t>in_pl_scen2_oth_general</t>
        </is>
      </c>
      <c r="B336" t="inlineStr">
        <is>
          <t>P&amp;L</t>
        </is>
      </c>
      <c r="C336" t="inlineStr">
        <is>
          <t>$AF$22</t>
        </is>
      </c>
      <c r="D336" t="inlineStr">
        <is>
          <t>input</t>
        </is>
      </c>
      <c r="E336" t="inlineStr">
        <is>
          <t>currency</t>
        </is>
      </c>
      <c r="F336">
        <f>in_pl_scen2_oth_general</f>
        <v/>
      </c>
      <c r="G336" t="inlineStr">
        <is>
          <t>scen2 scenario Year 1: Other Income - General</t>
        </is>
      </c>
    </row>
    <row r="337">
      <c r="A337" s="98" t="inlineStr">
        <is>
          <t>in_pl_scen2_oth_laundry</t>
        </is>
      </c>
      <c r="B337" t="inlineStr">
        <is>
          <t>P&amp;L</t>
        </is>
      </c>
      <c r="C337" t="inlineStr">
        <is>
          <t>$AF$27</t>
        </is>
      </c>
      <c r="D337" t="inlineStr">
        <is>
          <t>input</t>
        </is>
      </c>
      <c r="E337" t="inlineStr">
        <is>
          <t>currency</t>
        </is>
      </c>
      <c r="F337">
        <f>in_pl_scen2_oth_laundry</f>
        <v/>
      </c>
      <c r="G337" t="inlineStr">
        <is>
          <t>scen2 scenario Year 1: Other Income - Laundry/Vending</t>
        </is>
      </c>
    </row>
    <row r="338">
      <c r="A338" s="98" t="inlineStr">
        <is>
          <t>in_pl_scen2_oth_parking</t>
        </is>
      </c>
      <c r="B338" t="inlineStr">
        <is>
          <t>P&amp;L</t>
        </is>
      </c>
      <c r="C338" t="inlineStr">
        <is>
          <t>$AF$23</t>
        </is>
      </c>
      <c r="D338" t="inlineStr">
        <is>
          <t>input</t>
        </is>
      </c>
      <c r="E338" t="inlineStr">
        <is>
          <t>currency</t>
        </is>
      </c>
      <c r="F338">
        <f>in_pl_scen2_oth_parking</f>
        <v/>
      </c>
      <c r="G338" t="inlineStr">
        <is>
          <t>scen2 scenario Year 1: Other Income - Parking Income</t>
        </is>
      </c>
    </row>
    <row r="339">
      <c r="A339" s="98" t="inlineStr">
        <is>
          <t>in_pl_scen2_oth_pet</t>
        </is>
      </c>
      <c r="B339" t="inlineStr">
        <is>
          <t>P&amp;L</t>
        </is>
      </c>
      <c r="C339" t="inlineStr">
        <is>
          <t>$AF$24</t>
        </is>
      </c>
      <c r="D339" t="inlineStr">
        <is>
          <t>input</t>
        </is>
      </c>
      <c r="E339" t="inlineStr">
        <is>
          <t>currency</t>
        </is>
      </c>
      <c r="F339">
        <f>in_pl_scen2_oth_pet</f>
        <v/>
      </c>
      <c r="G339" t="inlineStr">
        <is>
          <t>scen2 scenario Year 1: Other Income - Pet Rent/Fees</t>
        </is>
      </c>
    </row>
    <row r="340">
      <c r="A340" s="98" t="inlineStr">
        <is>
          <t>in_pl_scen2_oth_storage</t>
        </is>
      </c>
      <c r="B340" t="inlineStr">
        <is>
          <t>P&amp;L</t>
        </is>
      </c>
      <c r="C340" t="inlineStr">
        <is>
          <t>$AF$26</t>
        </is>
      </c>
      <c r="D340" t="inlineStr">
        <is>
          <t>input</t>
        </is>
      </c>
      <c r="E340" t="inlineStr">
        <is>
          <t>currency</t>
        </is>
      </c>
      <c r="F340">
        <f>in_pl_scen2_oth_storage</f>
        <v/>
      </c>
      <c r="G340" t="inlineStr">
        <is>
          <t>scen2 scenario Year 1: Other Income - Storage</t>
        </is>
      </c>
    </row>
    <row r="341">
      <c r="A341" s="98" t="inlineStr">
        <is>
          <t>in_pl_scen2_other</t>
        </is>
      </c>
      <c r="B341" t="inlineStr">
        <is>
          <t>P&amp;L</t>
        </is>
      </c>
      <c r="C341" t="inlineStr">
        <is>
          <t>$AF$21</t>
        </is>
      </c>
      <c r="D341" t="inlineStr">
        <is>
          <t>input</t>
        </is>
      </c>
      <c r="E341" t="inlineStr">
        <is>
          <t>currency</t>
        </is>
      </c>
      <c r="F341">
        <f>in_pl_scen2_other</f>
        <v/>
      </c>
      <c r="G341" t="inlineStr">
        <is>
          <t>scen2 scenario Year 1: Other Income</t>
        </is>
      </c>
    </row>
    <row r="342">
      <c r="A342" s="98" t="inlineStr">
        <is>
          <t>in_pl_scen2_reimb</t>
        </is>
      </c>
      <c r="B342" t="inlineStr">
        <is>
          <t>P&amp;L</t>
        </is>
      </c>
      <c r="C342" t="inlineStr">
        <is>
          <t>$AF$14</t>
        </is>
      </c>
      <c r="D342" t="inlineStr">
        <is>
          <t>input</t>
        </is>
      </c>
      <c r="E342" t="inlineStr">
        <is>
          <t>currency</t>
        </is>
      </c>
      <c r="F342">
        <f>in_pl_scen2_reimb</f>
        <v/>
      </c>
      <c r="G342" t="inlineStr">
        <is>
          <t>scen2 scenario Year 1: Reimbursements (RUBS)</t>
        </is>
      </c>
    </row>
    <row r="343">
      <c r="A343" s="98" t="inlineStr">
        <is>
          <t>in_pl_scen2_reimb_electric</t>
        </is>
      </c>
      <c r="B343" t="inlineStr">
        <is>
          <t>P&amp;L</t>
        </is>
      </c>
      <c r="C343" t="inlineStr">
        <is>
          <t>$AF$16</t>
        </is>
      </c>
      <c r="D343" t="inlineStr">
        <is>
          <t>input</t>
        </is>
      </c>
      <c r="E343" t="inlineStr">
        <is>
          <t>currency</t>
        </is>
      </c>
      <c r="F343">
        <f>in_pl_scen2_reimb_electric</f>
        <v/>
      </c>
      <c r="G343" t="inlineStr">
        <is>
          <t>scen2 scenario Year 1: Reimbursements (RUBS) - Electric</t>
        </is>
      </c>
    </row>
    <row r="344">
      <c r="A344" s="98" t="inlineStr">
        <is>
          <t>in_pl_scen2_reimb_gas</t>
        </is>
      </c>
      <c r="B344" t="inlineStr">
        <is>
          <t>P&amp;L</t>
        </is>
      </c>
      <c r="C344" t="inlineStr">
        <is>
          <t>$AF$18</t>
        </is>
      </c>
      <c r="D344" t="inlineStr">
        <is>
          <t>input</t>
        </is>
      </c>
      <c r="E344" t="inlineStr">
        <is>
          <t>currency</t>
        </is>
      </c>
      <c r="F344">
        <f>in_pl_scen2_reimb_gas</f>
        <v/>
      </c>
      <c r="G344" t="inlineStr">
        <is>
          <t>scen2 scenario Year 1: Reimbursements (RUBS) - Gas</t>
        </is>
      </c>
    </row>
    <row r="345">
      <c r="A345" s="98" t="inlineStr">
        <is>
          <t>in_pl_scen2_reimb_general</t>
        </is>
      </c>
      <c r="B345" t="inlineStr">
        <is>
          <t>P&amp;L</t>
        </is>
      </c>
      <c r="C345" t="inlineStr">
        <is>
          <t>$AF$15</t>
        </is>
      </c>
      <c r="D345" t="inlineStr">
        <is>
          <t>input</t>
        </is>
      </c>
      <c r="E345" t="inlineStr">
        <is>
          <t>currency</t>
        </is>
      </c>
      <c r="F345">
        <f>in_pl_scen2_reimb_general</f>
        <v/>
      </c>
      <c r="G345" t="inlineStr">
        <is>
          <t>scen2 scenario Year 1: Reimbursements (RUBS) - General</t>
        </is>
      </c>
    </row>
    <row r="346">
      <c r="A346" s="98" t="inlineStr">
        <is>
          <t>in_pl_scen2_reimb_trash</t>
        </is>
      </c>
      <c r="B346" t="inlineStr">
        <is>
          <t>P&amp;L</t>
        </is>
      </c>
      <c r="C346" t="inlineStr">
        <is>
          <t>$AF$19</t>
        </is>
      </c>
      <c r="D346" t="inlineStr">
        <is>
          <t>input</t>
        </is>
      </c>
      <c r="E346" t="inlineStr">
        <is>
          <t>currency</t>
        </is>
      </c>
      <c r="F346">
        <f>in_pl_scen2_reimb_trash</f>
        <v/>
      </c>
      <c r="G346" t="inlineStr">
        <is>
          <t>scen2 scenario Year 1: Reimbursements (RUBS) - Trash</t>
        </is>
      </c>
    </row>
    <row r="347">
      <c r="A347" s="98" t="inlineStr">
        <is>
          <t>in_pl_scen2_reimb_water</t>
        </is>
      </c>
      <c r="B347" t="inlineStr">
        <is>
          <t>P&amp;L</t>
        </is>
      </c>
      <c r="C347" t="inlineStr">
        <is>
          <t>$AF$17</t>
        </is>
      </c>
      <c r="D347" t="inlineStr">
        <is>
          <t>input</t>
        </is>
      </c>
      <c r="E347" t="inlineStr">
        <is>
          <t>currency</t>
        </is>
      </c>
      <c r="F347">
        <f>in_pl_scen2_reimb_water</f>
        <v/>
      </c>
      <c r="G347" t="inlineStr">
        <is>
          <t>scen2 scenario Year 1: Reimbursements (RUBS) - Water/Sewer</t>
        </is>
      </c>
    </row>
    <row r="348">
      <c r="A348" s="98" t="inlineStr">
        <is>
          <t>in_pl_scen2_rm</t>
        </is>
      </c>
      <c r="B348" t="inlineStr">
        <is>
          <t>P&amp;L</t>
        </is>
      </c>
      <c r="C348" t="inlineStr">
        <is>
          <t>$AF$34</t>
        </is>
      </c>
      <c r="D348" t="inlineStr">
        <is>
          <t>input</t>
        </is>
      </c>
      <c r="E348" t="inlineStr">
        <is>
          <t>currency</t>
        </is>
      </c>
      <c r="F348">
        <f>in_pl_scen2_rm</f>
        <v/>
      </c>
      <c r="G348" t="inlineStr">
        <is>
          <t>scen2 scenario Year 1: Repairs and Maintenance</t>
        </is>
      </c>
    </row>
    <row r="349">
      <c r="A349" s="98" t="inlineStr">
        <is>
          <t>in_pl_scen2_rm_contract</t>
        </is>
      </c>
      <c r="B349" t="inlineStr">
        <is>
          <t>P&amp;L</t>
        </is>
      </c>
      <c r="C349" t="inlineStr">
        <is>
          <t>$AF$36</t>
        </is>
      </c>
      <c r="D349" t="inlineStr">
        <is>
          <t>input</t>
        </is>
      </c>
      <c r="E349" t="inlineStr">
        <is>
          <t>currency</t>
        </is>
      </c>
      <c r="F349">
        <f>in_pl_scen2_rm_contract</f>
        <v/>
      </c>
      <c r="G349" t="inlineStr">
        <is>
          <t>scen2 scenario Year 1: Repairs and Maintenance - Contract Services</t>
        </is>
      </c>
    </row>
    <row r="350">
      <c r="A350" s="98" t="inlineStr">
        <is>
          <t>in_pl_scen2_rm_general</t>
        </is>
      </c>
      <c r="B350" t="inlineStr">
        <is>
          <t>P&amp;L</t>
        </is>
      </c>
      <c r="C350" t="inlineStr">
        <is>
          <t>$AF$35</t>
        </is>
      </c>
      <c r="D350" t="inlineStr">
        <is>
          <t>input</t>
        </is>
      </c>
      <c r="E350" t="inlineStr">
        <is>
          <t>currency</t>
        </is>
      </c>
      <c r="F350">
        <f>in_pl_scen2_rm_general</f>
        <v/>
      </c>
      <c r="G350" t="inlineStr">
        <is>
          <t>scen2 scenario Year 1: Repairs and Maintenance - General</t>
        </is>
      </c>
    </row>
    <row r="351">
      <c r="A351" s="98" t="inlineStr">
        <is>
          <t>in_pl_scen2_rm_turnover</t>
        </is>
      </c>
      <c r="B351" t="inlineStr">
        <is>
          <t>P&amp;L</t>
        </is>
      </c>
      <c r="C351" t="inlineStr">
        <is>
          <t>$AF$37</t>
        </is>
      </c>
      <c r="D351" t="inlineStr">
        <is>
          <t>input</t>
        </is>
      </c>
      <c r="E351" t="inlineStr">
        <is>
          <t>currency</t>
        </is>
      </c>
      <c r="F351">
        <f>in_pl_scen2_rm_turnover</f>
        <v/>
      </c>
      <c r="G351" t="inlineStr">
        <is>
          <t>scen2 scenario Year 1: Repairs and Maintenance - Turnover</t>
        </is>
      </c>
    </row>
    <row r="352">
      <c r="A352" s="98" t="inlineStr">
        <is>
          <t>in_pl_scen2_salaries</t>
        </is>
      </c>
      <c r="B352" t="inlineStr">
        <is>
          <t>P&amp;L</t>
        </is>
      </c>
      <c r="C352" t="inlineStr">
        <is>
          <t>$AF$33</t>
        </is>
      </c>
      <c r="D352" t="inlineStr">
        <is>
          <t>input</t>
        </is>
      </c>
      <c r="E352" t="inlineStr">
        <is>
          <t>currency</t>
        </is>
      </c>
      <c r="F352">
        <f>in_pl_scen2_salaries</f>
        <v/>
      </c>
      <c r="G352" t="inlineStr">
        <is>
          <t>scen2 scenario Year 1: Salaries</t>
        </is>
      </c>
    </row>
    <row r="353">
      <c r="A353" s="98" t="inlineStr">
        <is>
          <t>in_pl_scen2_taxes</t>
        </is>
      </c>
      <c r="B353" t="inlineStr">
        <is>
          <t>P&amp;L</t>
        </is>
      </c>
      <c r="C353" t="inlineStr">
        <is>
          <t>$AF$31</t>
        </is>
      </c>
      <c r="D353" t="inlineStr">
        <is>
          <t>input</t>
        </is>
      </c>
      <c r="E353" t="inlineStr">
        <is>
          <t>currency</t>
        </is>
      </c>
      <c r="F353">
        <f>in_pl_scen2_taxes</f>
        <v/>
      </c>
      <c r="G353" t="inlineStr">
        <is>
          <t>scen2 scenario Year 1: Real Estate Taxes</t>
        </is>
      </c>
    </row>
    <row r="354">
      <c r="A354" s="98" t="inlineStr">
        <is>
          <t>in_pl_scen2_unmapped</t>
        </is>
      </c>
      <c r="B354" t="inlineStr">
        <is>
          <t>P&amp;L</t>
        </is>
      </c>
      <c r="C354" t="inlineStr">
        <is>
          <t>$AF$47</t>
        </is>
      </c>
      <c r="D354" t="inlineStr">
        <is>
          <t>input</t>
        </is>
      </c>
      <c r="E354" t="inlineStr">
        <is>
          <t>currency</t>
        </is>
      </c>
      <c r="F354">
        <f>in_pl_scen2_unmapped</f>
        <v/>
      </c>
      <c r="G354" t="inlineStr">
        <is>
          <t>scen2 scenario Year 1: Other / Unmapped</t>
        </is>
      </c>
    </row>
    <row r="355">
      <c r="A355" s="98" t="inlineStr">
        <is>
          <t>in_pl_scen2_util_electric</t>
        </is>
      </c>
      <c r="B355" t="inlineStr">
        <is>
          <t>P&amp;L</t>
        </is>
      </c>
      <c r="C355" t="inlineStr">
        <is>
          <t>$AF$40</t>
        </is>
      </c>
      <c r="D355" t="inlineStr">
        <is>
          <t>input</t>
        </is>
      </c>
      <c r="E355" t="inlineStr">
        <is>
          <t>currency</t>
        </is>
      </c>
      <c r="F355">
        <f>in_pl_scen2_util_electric</f>
        <v/>
      </c>
      <c r="G355" t="inlineStr">
        <is>
          <t>scen2 scenario Year 1: Utilities - Electric</t>
        </is>
      </c>
    </row>
    <row r="356">
      <c r="A356" s="98" t="inlineStr">
        <is>
          <t>in_pl_scen2_util_gas</t>
        </is>
      </c>
      <c r="B356" t="inlineStr">
        <is>
          <t>P&amp;L</t>
        </is>
      </c>
      <c r="C356" t="inlineStr">
        <is>
          <t>$AF$42</t>
        </is>
      </c>
      <c r="D356" t="inlineStr">
        <is>
          <t>input</t>
        </is>
      </c>
      <c r="E356" t="inlineStr">
        <is>
          <t>currency</t>
        </is>
      </c>
      <c r="F356">
        <f>in_pl_scen2_util_gas</f>
        <v/>
      </c>
      <c r="G356" t="inlineStr">
        <is>
          <t>scen2 scenario Year 1: Utilities - Gas</t>
        </is>
      </c>
    </row>
    <row r="357">
      <c r="A357" s="98" t="inlineStr">
        <is>
          <t>in_pl_scen2_util_general</t>
        </is>
      </c>
      <c r="B357" t="inlineStr">
        <is>
          <t>P&amp;L</t>
        </is>
      </c>
      <c r="C357" t="inlineStr">
        <is>
          <t>$AF$39</t>
        </is>
      </c>
      <c r="D357" t="inlineStr">
        <is>
          <t>input</t>
        </is>
      </c>
      <c r="E357" t="inlineStr">
        <is>
          <t>currency</t>
        </is>
      </c>
      <c r="F357">
        <f>in_pl_scen2_util_general</f>
        <v/>
      </c>
      <c r="G357" t="inlineStr">
        <is>
          <t>scen2 scenario Year 1: Utilities - General</t>
        </is>
      </c>
    </row>
    <row r="358">
      <c r="A358" s="98" t="inlineStr">
        <is>
          <t>in_pl_scen2_util_trash</t>
        </is>
      </c>
      <c r="B358" t="inlineStr">
        <is>
          <t>P&amp;L</t>
        </is>
      </c>
      <c r="C358" t="inlineStr">
        <is>
          <t>$AF$43</t>
        </is>
      </c>
      <c r="D358" t="inlineStr">
        <is>
          <t>input</t>
        </is>
      </c>
      <c r="E358" t="inlineStr">
        <is>
          <t>currency</t>
        </is>
      </c>
      <c r="F358">
        <f>in_pl_scen2_util_trash</f>
        <v/>
      </c>
      <c r="G358" t="inlineStr">
        <is>
          <t>scen2 scenario Year 1: Utilities - Trash</t>
        </is>
      </c>
    </row>
    <row r="359">
      <c r="A359" s="98" t="inlineStr">
        <is>
          <t>in_pl_scen2_util_water</t>
        </is>
      </c>
      <c r="B359" t="inlineStr">
        <is>
          <t>P&amp;L</t>
        </is>
      </c>
      <c r="C359" t="inlineStr">
        <is>
          <t>$AF$41</t>
        </is>
      </c>
      <c r="D359" t="inlineStr">
        <is>
          <t>input</t>
        </is>
      </c>
      <c r="E359" t="inlineStr">
        <is>
          <t>currency</t>
        </is>
      </c>
      <c r="F359">
        <f>in_pl_scen2_util_water</f>
        <v/>
      </c>
      <c r="G359" t="inlineStr">
        <is>
          <t>scen2 scenario Year 1: Utilities - Water/Sewer</t>
        </is>
      </c>
    </row>
    <row r="360">
      <c r="A360" s="98" t="inlineStr">
        <is>
          <t>in_pl_scen2_utilities</t>
        </is>
      </c>
      <c r="B360" t="inlineStr">
        <is>
          <t>P&amp;L</t>
        </is>
      </c>
      <c r="C360" t="inlineStr">
        <is>
          <t>$AF$38</t>
        </is>
      </c>
      <c r="D360" t="inlineStr">
        <is>
          <t>input</t>
        </is>
      </c>
      <c r="E360" t="inlineStr">
        <is>
          <t>currency</t>
        </is>
      </c>
      <c r="F360">
        <f>in_pl_scen2_utilities</f>
        <v/>
      </c>
      <c r="G360" t="inlineStr">
        <is>
          <t>scen2 scenario Year 1: Utilities</t>
        </is>
      </c>
    </row>
    <row r="361">
      <c r="A361" s="98" t="inlineStr">
        <is>
          <t>in_pl_scen2_vacancy</t>
        </is>
      </c>
      <c r="B361" t="inlineStr">
        <is>
          <t>P&amp;L</t>
        </is>
      </c>
      <c r="C361" t="inlineStr">
        <is>
          <t>$AF$10</t>
        </is>
      </c>
      <c r="D361" t="inlineStr">
        <is>
          <t>input</t>
        </is>
      </c>
      <c r="E361" t="inlineStr">
        <is>
          <t>currency</t>
        </is>
      </c>
      <c r="F361">
        <f>in_pl_scen2_vacancy</f>
        <v/>
      </c>
      <c r="G361" t="inlineStr">
        <is>
          <t>scen2 scenario Year 1: Vacancy</t>
        </is>
      </c>
    </row>
    <row r="362">
      <c r="A362" s="98" t="inlineStr">
        <is>
          <t>in_pl_scen3_admin</t>
        </is>
      </c>
      <c r="B362" t="inlineStr">
        <is>
          <t>P&amp;L</t>
        </is>
      </c>
      <c r="C362" t="inlineStr">
        <is>
          <t>$AH$45</t>
        </is>
      </c>
      <c r="D362" t="inlineStr">
        <is>
          <t>input</t>
        </is>
      </c>
      <c r="E362" t="inlineStr">
        <is>
          <t>currency</t>
        </is>
      </c>
      <c r="F362">
        <f>in_pl_scen3_admin</f>
        <v/>
      </c>
      <c r="G362" t="inlineStr">
        <is>
          <t>scen3 scenario Year 1: Administrative</t>
        </is>
      </c>
    </row>
    <row r="363">
      <c r="A363" s="98" t="inlineStr">
        <is>
          <t>in_pl_scen3_bad_debt</t>
        </is>
      </c>
      <c r="B363" t="inlineStr">
        <is>
          <t>P&amp;L</t>
        </is>
      </c>
      <c r="C363" t="inlineStr">
        <is>
          <t>$AH$13</t>
        </is>
      </c>
      <c r="D363" t="inlineStr">
        <is>
          <t>input</t>
        </is>
      </c>
      <c r="E363" t="inlineStr">
        <is>
          <t>currency</t>
        </is>
      </c>
      <c r="F363">
        <f>in_pl_scen3_bad_debt</f>
        <v/>
      </c>
      <c r="G363" t="inlineStr">
        <is>
          <t>scen3 scenario Year 1: Bad Debt/Collection Loss</t>
        </is>
      </c>
    </row>
    <row r="364">
      <c r="A364" s="98" t="inlineStr">
        <is>
          <t>in_pl_scen3_commercial</t>
        </is>
      </c>
      <c r="B364" t="inlineStr">
        <is>
          <t>P&amp;L</t>
        </is>
      </c>
      <c r="C364" t="inlineStr">
        <is>
          <t>$AH$20</t>
        </is>
      </c>
      <c r="D364" t="inlineStr">
        <is>
          <t>input</t>
        </is>
      </c>
      <c r="E364" t="inlineStr">
        <is>
          <t>currency</t>
        </is>
      </c>
      <c r="F364">
        <f>in_pl_scen3_commercial</f>
        <v/>
      </c>
      <c r="G364" t="inlineStr">
        <is>
          <t>scen3 scenario Year 1: Commercial Rent</t>
        </is>
      </c>
    </row>
    <row r="365">
      <c r="A365" s="98" t="inlineStr">
        <is>
          <t>in_pl_scen3_concessions</t>
        </is>
      </c>
      <c r="B365" t="inlineStr">
        <is>
          <t>P&amp;L</t>
        </is>
      </c>
      <c r="C365" t="inlineStr">
        <is>
          <t>$AH$12</t>
        </is>
      </c>
      <c r="D365" t="inlineStr">
        <is>
          <t>input</t>
        </is>
      </c>
      <c r="E365" t="inlineStr">
        <is>
          <t>currency</t>
        </is>
      </c>
      <c r="F365">
        <f>in_pl_scen3_concessions</f>
        <v/>
      </c>
      <c r="G365" t="inlineStr">
        <is>
          <t>scen3 scenario Year 1: Concessions</t>
        </is>
      </c>
    </row>
    <row r="366">
      <c r="A366" s="98" t="inlineStr">
        <is>
          <t>in_pl_scen3_gpr</t>
        </is>
      </c>
      <c r="B366" t="inlineStr">
        <is>
          <t>P&amp;L</t>
        </is>
      </c>
      <c r="C366" t="inlineStr">
        <is>
          <t>$AH$8</t>
        </is>
      </c>
      <c r="D366" t="inlineStr">
        <is>
          <t>input</t>
        </is>
      </c>
      <c r="E366" t="inlineStr">
        <is>
          <t>currency</t>
        </is>
      </c>
      <c r="F366">
        <f>in_pl_scen3_gpr</f>
        <v/>
      </c>
      <c r="G366" t="inlineStr">
        <is>
          <t>scen3 scenario Year 1: Residential Income (GPR)</t>
        </is>
      </c>
    </row>
    <row r="367">
      <c r="A367" s="98" t="inlineStr">
        <is>
          <t>in_pl_scen3_insurance</t>
        </is>
      </c>
      <c r="B367" t="inlineStr">
        <is>
          <t>P&amp;L</t>
        </is>
      </c>
      <c r="C367" t="inlineStr">
        <is>
          <t>$AH$32</t>
        </is>
      </c>
      <c r="D367" t="inlineStr">
        <is>
          <t>input</t>
        </is>
      </c>
      <c r="E367" t="inlineStr">
        <is>
          <t>currency</t>
        </is>
      </c>
      <c r="F367">
        <f>in_pl_scen3_insurance</f>
        <v/>
      </c>
      <c r="G367" t="inlineStr">
        <is>
          <t>scen3 scenario Year 1: Insurance</t>
        </is>
      </c>
    </row>
    <row r="368">
      <c r="A368" s="98" t="inlineStr">
        <is>
          <t>in_pl_scen3_ltl</t>
        </is>
      </c>
      <c r="B368" t="inlineStr">
        <is>
          <t>P&amp;L</t>
        </is>
      </c>
      <c r="C368" t="inlineStr">
        <is>
          <t>$AH$9</t>
        </is>
      </c>
      <c r="D368" t="inlineStr">
        <is>
          <t>input</t>
        </is>
      </c>
      <c r="E368" t="inlineStr">
        <is>
          <t>currency</t>
        </is>
      </c>
      <c r="F368">
        <f>in_pl_scen3_ltl</f>
        <v/>
      </c>
      <c r="G368" t="inlineStr">
        <is>
          <t>scen3 scenario Year 1: Loss to Lease</t>
        </is>
      </c>
    </row>
    <row r="369">
      <c r="A369" s="98" t="inlineStr">
        <is>
          <t>in_pl_scen3_marketing</t>
        </is>
      </c>
      <c r="B369" t="inlineStr">
        <is>
          <t>P&amp;L</t>
        </is>
      </c>
      <c r="C369" t="inlineStr">
        <is>
          <t>$AH$44</t>
        </is>
      </c>
      <c r="D369" t="inlineStr">
        <is>
          <t>input</t>
        </is>
      </c>
      <c r="E369" t="inlineStr">
        <is>
          <t>currency</t>
        </is>
      </c>
      <c r="F369">
        <f>in_pl_scen3_marketing</f>
        <v/>
      </c>
      <c r="G369" t="inlineStr">
        <is>
          <t>scen3 scenario Year 1: Marketing/Advertising</t>
        </is>
      </c>
    </row>
    <row r="370">
      <c r="A370" s="98" t="inlineStr">
        <is>
          <t>in_pl_scen3_mgmt</t>
        </is>
      </c>
      <c r="B370" t="inlineStr">
        <is>
          <t>P&amp;L</t>
        </is>
      </c>
      <c r="C370" t="inlineStr">
        <is>
          <t>$AH$46</t>
        </is>
      </c>
      <c r="D370" t="inlineStr">
        <is>
          <t>input</t>
        </is>
      </c>
      <c r="E370" t="inlineStr">
        <is>
          <t>currency</t>
        </is>
      </c>
      <c r="F370">
        <f>in_pl_scen3_mgmt</f>
        <v/>
      </c>
      <c r="G370" t="inlineStr">
        <is>
          <t>scen3 scenario Year 1: Property Management</t>
        </is>
      </c>
    </row>
    <row r="371">
      <c r="A371" s="98" t="inlineStr">
        <is>
          <t>in_pl_scen3_name</t>
        </is>
      </c>
      <c r="B371" t="inlineStr">
        <is>
          <t>P&amp;L</t>
        </is>
      </c>
      <c r="C371" t="inlineStr">
        <is>
          <t>$AH$6</t>
        </is>
      </c>
      <c r="D371" t="inlineStr">
        <is>
          <t>input</t>
        </is>
      </c>
      <c r="E371" t="inlineStr">
        <is>
          <t>text</t>
        </is>
      </c>
      <c r="F371">
        <f>in_pl_scen3_name</f>
        <v/>
      </c>
      <c r="G371" t="inlineStr">
        <is>
          <t>scen3 scenario column name — shown in the P&amp;L header and in the scenario dropdown</t>
        </is>
      </c>
      <c r="H371" s="95" t="inlineStr">
        <is>
          <t>'="Scenario 3"</t>
        </is>
      </c>
    </row>
    <row r="372">
      <c r="A372" s="98" t="inlineStr">
        <is>
          <t>in_pl_scen3_nonrev</t>
        </is>
      </c>
      <c r="B372" t="inlineStr">
        <is>
          <t>P&amp;L</t>
        </is>
      </c>
      <c r="C372" t="inlineStr">
        <is>
          <t>$AH$11</t>
        </is>
      </c>
      <c r="D372" t="inlineStr">
        <is>
          <t>input</t>
        </is>
      </c>
      <c r="E372" t="inlineStr">
        <is>
          <t>currency</t>
        </is>
      </c>
      <c r="F372">
        <f>in_pl_scen3_nonrev</f>
        <v/>
      </c>
      <c r="G372" t="inlineStr">
        <is>
          <t>scen3 scenario Year 1: Non-Revenue Units</t>
        </is>
      </c>
    </row>
    <row r="373">
      <c r="A373" s="98" t="inlineStr">
        <is>
          <t>in_pl_scen3_oth_fees</t>
        </is>
      </c>
      <c r="B373" t="inlineStr">
        <is>
          <t>P&amp;L</t>
        </is>
      </c>
      <c r="C373" t="inlineStr">
        <is>
          <t>$AH$25</t>
        </is>
      </c>
      <c r="D373" t="inlineStr">
        <is>
          <t>input</t>
        </is>
      </c>
      <c r="E373" t="inlineStr">
        <is>
          <t>currency</t>
        </is>
      </c>
      <c r="F373">
        <f>in_pl_scen3_oth_fees</f>
        <v/>
      </c>
      <c r="G373" t="inlineStr">
        <is>
          <t>scen3 scenario Year 1: Other Income - App/Admin/Late Fees</t>
        </is>
      </c>
    </row>
    <row r="374">
      <c r="A374" s="98" t="inlineStr">
        <is>
          <t>in_pl_scen3_oth_general</t>
        </is>
      </c>
      <c r="B374" t="inlineStr">
        <is>
          <t>P&amp;L</t>
        </is>
      </c>
      <c r="C374" t="inlineStr">
        <is>
          <t>$AH$22</t>
        </is>
      </c>
      <c r="D374" t="inlineStr">
        <is>
          <t>input</t>
        </is>
      </c>
      <c r="E374" t="inlineStr">
        <is>
          <t>currency</t>
        </is>
      </c>
      <c r="F374">
        <f>in_pl_scen3_oth_general</f>
        <v/>
      </c>
      <c r="G374" t="inlineStr">
        <is>
          <t>scen3 scenario Year 1: Other Income - General</t>
        </is>
      </c>
    </row>
    <row r="375">
      <c r="A375" s="98" t="inlineStr">
        <is>
          <t>in_pl_scen3_oth_laundry</t>
        </is>
      </c>
      <c r="B375" t="inlineStr">
        <is>
          <t>P&amp;L</t>
        </is>
      </c>
      <c r="C375" t="inlineStr">
        <is>
          <t>$AH$27</t>
        </is>
      </c>
      <c r="D375" t="inlineStr">
        <is>
          <t>input</t>
        </is>
      </c>
      <c r="E375" t="inlineStr">
        <is>
          <t>currency</t>
        </is>
      </c>
      <c r="F375">
        <f>in_pl_scen3_oth_laundry</f>
        <v/>
      </c>
      <c r="G375" t="inlineStr">
        <is>
          <t>scen3 scenario Year 1: Other Income - Laundry/Vending</t>
        </is>
      </c>
    </row>
    <row r="376">
      <c r="A376" s="98" t="inlineStr">
        <is>
          <t>in_pl_scen3_oth_parking</t>
        </is>
      </c>
      <c r="B376" t="inlineStr">
        <is>
          <t>P&amp;L</t>
        </is>
      </c>
      <c r="C376" t="inlineStr">
        <is>
          <t>$AH$23</t>
        </is>
      </c>
      <c r="D376" t="inlineStr">
        <is>
          <t>input</t>
        </is>
      </c>
      <c r="E376" t="inlineStr">
        <is>
          <t>currency</t>
        </is>
      </c>
      <c r="F376">
        <f>in_pl_scen3_oth_parking</f>
        <v/>
      </c>
      <c r="G376" t="inlineStr">
        <is>
          <t>scen3 scenario Year 1: Other Income - Parking Income</t>
        </is>
      </c>
    </row>
    <row r="377">
      <c r="A377" s="98" t="inlineStr">
        <is>
          <t>in_pl_scen3_oth_pet</t>
        </is>
      </c>
      <c r="B377" t="inlineStr">
        <is>
          <t>P&amp;L</t>
        </is>
      </c>
      <c r="C377" t="inlineStr">
        <is>
          <t>$AH$24</t>
        </is>
      </c>
      <c r="D377" t="inlineStr">
        <is>
          <t>input</t>
        </is>
      </c>
      <c r="E377" t="inlineStr">
        <is>
          <t>currency</t>
        </is>
      </c>
      <c r="F377">
        <f>in_pl_scen3_oth_pet</f>
        <v/>
      </c>
      <c r="G377" t="inlineStr">
        <is>
          <t>scen3 scenario Year 1: Other Income - Pet Rent/Fees</t>
        </is>
      </c>
    </row>
    <row r="378">
      <c r="A378" s="98" t="inlineStr">
        <is>
          <t>in_pl_scen3_oth_storage</t>
        </is>
      </c>
      <c r="B378" t="inlineStr">
        <is>
          <t>P&amp;L</t>
        </is>
      </c>
      <c r="C378" t="inlineStr">
        <is>
          <t>$AH$26</t>
        </is>
      </c>
      <c r="D378" t="inlineStr">
        <is>
          <t>input</t>
        </is>
      </c>
      <c r="E378" t="inlineStr">
        <is>
          <t>currency</t>
        </is>
      </c>
      <c r="F378">
        <f>in_pl_scen3_oth_storage</f>
        <v/>
      </c>
      <c r="G378" t="inlineStr">
        <is>
          <t>scen3 scenario Year 1: Other Income - Storage</t>
        </is>
      </c>
    </row>
    <row r="379">
      <c r="A379" s="98" t="inlineStr">
        <is>
          <t>in_pl_scen3_other</t>
        </is>
      </c>
      <c r="B379" t="inlineStr">
        <is>
          <t>P&amp;L</t>
        </is>
      </c>
      <c r="C379" t="inlineStr">
        <is>
          <t>$AH$21</t>
        </is>
      </c>
      <c r="D379" t="inlineStr">
        <is>
          <t>input</t>
        </is>
      </c>
      <c r="E379" t="inlineStr">
        <is>
          <t>currency</t>
        </is>
      </c>
      <c r="F379">
        <f>in_pl_scen3_other</f>
        <v/>
      </c>
      <c r="G379" t="inlineStr">
        <is>
          <t>scen3 scenario Year 1: Other Income</t>
        </is>
      </c>
    </row>
    <row r="380">
      <c r="A380" s="98" t="inlineStr">
        <is>
          <t>in_pl_scen3_reimb</t>
        </is>
      </c>
      <c r="B380" t="inlineStr">
        <is>
          <t>P&amp;L</t>
        </is>
      </c>
      <c r="C380" t="inlineStr">
        <is>
          <t>$AH$14</t>
        </is>
      </c>
      <c r="D380" t="inlineStr">
        <is>
          <t>input</t>
        </is>
      </c>
      <c r="E380" t="inlineStr">
        <is>
          <t>currency</t>
        </is>
      </c>
      <c r="F380">
        <f>in_pl_scen3_reimb</f>
        <v/>
      </c>
      <c r="G380" t="inlineStr">
        <is>
          <t>scen3 scenario Year 1: Reimbursements (RUBS)</t>
        </is>
      </c>
    </row>
    <row r="381">
      <c r="A381" s="98" t="inlineStr">
        <is>
          <t>in_pl_scen3_reimb_electric</t>
        </is>
      </c>
      <c r="B381" t="inlineStr">
        <is>
          <t>P&amp;L</t>
        </is>
      </c>
      <c r="C381" t="inlineStr">
        <is>
          <t>$AH$16</t>
        </is>
      </c>
      <c r="D381" t="inlineStr">
        <is>
          <t>input</t>
        </is>
      </c>
      <c r="E381" t="inlineStr">
        <is>
          <t>currency</t>
        </is>
      </c>
      <c r="F381">
        <f>in_pl_scen3_reimb_electric</f>
        <v/>
      </c>
      <c r="G381" t="inlineStr">
        <is>
          <t>scen3 scenario Year 1: Reimbursements (RUBS) - Electric</t>
        </is>
      </c>
    </row>
    <row r="382">
      <c r="A382" s="98" t="inlineStr">
        <is>
          <t>in_pl_scen3_reimb_gas</t>
        </is>
      </c>
      <c r="B382" t="inlineStr">
        <is>
          <t>P&amp;L</t>
        </is>
      </c>
      <c r="C382" t="inlineStr">
        <is>
          <t>$AH$18</t>
        </is>
      </c>
      <c r="D382" t="inlineStr">
        <is>
          <t>input</t>
        </is>
      </c>
      <c r="E382" t="inlineStr">
        <is>
          <t>currency</t>
        </is>
      </c>
      <c r="F382">
        <f>in_pl_scen3_reimb_gas</f>
        <v/>
      </c>
      <c r="G382" t="inlineStr">
        <is>
          <t>scen3 scenario Year 1: Reimbursements (RUBS) - Gas</t>
        </is>
      </c>
    </row>
    <row r="383">
      <c r="A383" s="98" t="inlineStr">
        <is>
          <t>in_pl_scen3_reimb_general</t>
        </is>
      </c>
      <c r="B383" t="inlineStr">
        <is>
          <t>P&amp;L</t>
        </is>
      </c>
      <c r="C383" t="inlineStr">
        <is>
          <t>$AH$15</t>
        </is>
      </c>
      <c r="D383" t="inlineStr">
        <is>
          <t>input</t>
        </is>
      </c>
      <c r="E383" t="inlineStr">
        <is>
          <t>currency</t>
        </is>
      </c>
      <c r="F383">
        <f>in_pl_scen3_reimb_general</f>
        <v/>
      </c>
      <c r="G383" t="inlineStr">
        <is>
          <t>scen3 scenario Year 1: Reimbursements (RUBS) - General</t>
        </is>
      </c>
    </row>
    <row r="384">
      <c r="A384" s="98" t="inlineStr">
        <is>
          <t>in_pl_scen3_reimb_trash</t>
        </is>
      </c>
      <c r="B384" t="inlineStr">
        <is>
          <t>P&amp;L</t>
        </is>
      </c>
      <c r="C384" t="inlineStr">
        <is>
          <t>$AH$19</t>
        </is>
      </c>
      <c r="D384" t="inlineStr">
        <is>
          <t>input</t>
        </is>
      </c>
      <c r="E384" t="inlineStr">
        <is>
          <t>currency</t>
        </is>
      </c>
      <c r="F384">
        <f>in_pl_scen3_reimb_trash</f>
        <v/>
      </c>
      <c r="G384" t="inlineStr">
        <is>
          <t>scen3 scenario Year 1: Reimbursements (RUBS) - Trash</t>
        </is>
      </c>
    </row>
    <row r="385">
      <c r="A385" s="98" t="inlineStr">
        <is>
          <t>in_pl_scen3_reimb_water</t>
        </is>
      </c>
      <c r="B385" t="inlineStr">
        <is>
          <t>P&amp;L</t>
        </is>
      </c>
      <c r="C385" t="inlineStr">
        <is>
          <t>$AH$17</t>
        </is>
      </c>
      <c r="D385" t="inlineStr">
        <is>
          <t>input</t>
        </is>
      </c>
      <c r="E385" t="inlineStr">
        <is>
          <t>currency</t>
        </is>
      </c>
      <c r="F385">
        <f>in_pl_scen3_reimb_water</f>
        <v/>
      </c>
      <c r="G385" t="inlineStr">
        <is>
          <t>scen3 scenario Year 1: Reimbursements (RUBS) - Water/Sewer</t>
        </is>
      </c>
    </row>
    <row r="386">
      <c r="A386" s="98" t="inlineStr">
        <is>
          <t>in_pl_scen3_rm</t>
        </is>
      </c>
      <c r="B386" t="inlineStr">
        <is>
          <t>P&amp;L</t>
        </is>
      </c>
      <c r="C386" t="inlineStr">
        <is>
          <t>$AH$34</t>
        </is>
      </c>
      <c r="D386" t="inlineStr">
        <is>
          <t>input</t>
        </is>
      </c>
      <c r="E386" t="inlineStr">
        <is>
          <t>currency</t>
        </is>
      </c>
      <c r="F386">
        <f>in_pl_scen3_rm</f>
        <v/>
      </c>
      <c r="G386" t="inlineStr">
        <is>
          <t>scen3 scenario Year 1: Repairs and Maintenance</t>
        </is>
      </c>
    </row>
    <row r="387">
      <c r="A387" s="98" t="inlineStr">
        <is>
          <t>in_pl_scen3_rm_contract</t>
        </is>
      </c>
      <c r="B387" t="inlineStr">
        <is>
          <t>P&amp;L</t>
        </is>
      </c>
      <c r="C387" t="inlineStr">
        <is>
          <t>$AH$36</t>
        </is>
      </c>
      <c r="D387" t="inlineStr">
        <is>
          <t>input</t>
        </is>
      </c>
      <c r="E387" t="inlineStr">
        <is>
          <t>currency</t>
        </is>
      </c>
      <c r="F387">
        <f>in_pl_scen3_rm_contract</f>
        <v/>
      </c>
      <c r="G387" t="inlineStr">
        <is>
          <t>scen3 scenario Year 1: Repairs and Maintenance - Contract Services</t>
        </is>
      </c>
    </row>
    <row r="388">
      <c r="A388" s="98" t="inlineStr">
        <is>
          <t>in_pl_scen3_rm_general</t>
        </is>
      </c>
      <c r="B388" t="inlineStr">
        <is>
          <t>P&amp;L</t>
        </is>
      </c>
      <c r="C388" t="inlineStr">
        <is>
          <t>$AH$35</t>
        </is>
      </c>
      <c r="D388" t="inlineStr">
        <is>
          <t>input</t>
        </is>
      </c>
      <c r="E388" t="inlineStr">
        <is>
          <t>currency</t>
        </is>
      </c>
      <c r="F388">
        <f>in_pl_scen3_rm_general</f>
        <v/>
      </c>
      <c r="G388" t="inlineStr">
        <is>
          <t>scen3 scenario Year 1: Repairs and Maintenance - General</t>
        </is>
      </c>
    </row>
    <row r="389">
      <c r="A389" s="98" t="inlineStr">
        <is>
          <t>in_pl_scen3_rm_turnover</t>
        </is>
      </c>
      <c r="B389" t="inlineStr">
        <is>
          <t>P&amp;L</t>
        </is>
      </c>
      <c r="C389" t="inlineStr">
        <is>
          <t>$AH$37</t>
        </is>
      </c>
      <c r="D389" t="inlineStr">
        <is>
          <t>input</t>
        </is>
      </c>
      <c r="E389" t="inlineStr">
        <is>
          <t>currency</t>
        </is>
      </c>
      <c r="F389">
        <f>in_pl_scen3_rm_turnover</f>
        <v/>
      </c>
      <c r="G389" t="inlineStr">
        <is>
          <t>scen3 scenario Year 1: Repairs and Maintenance - Turnover</t>
        </is>
      </c>
    </row>
    <row r="390">
      <c r="A390" s="98" t="inlineStr">
        <is>
          <t>in_pl_scen3_salaries</t>
        </is>
      </c>
      <c r="B390" t="inlineStr">
        <is>
          <t>P&amp;L</t>
        </is>
      </c>
      <c r="C390" t="inlineStr">
        <is>
          <t>$AH$33</t>
        </is>
      </c>
      <c r="D390" t="inlineStr">
        <is>
          <t>input</t>
        </is>
      </c>
      <c r="E390" t="inlineStr">
        <is>
          <t>currency</t>
        </is>
      </c>
      <c r="F390">
        <f>in_pl_scen3_salaries</f>
        <v/>
      </c>
      <c r="G390" t="inlineStr">
        <is>
          <t>scen3 scenario Year 1: Salaries</t>
        </is>
      </c>
    </row>
    <row r="391">
      <c r="A391" s="98" t="inlineStr">
        <is>
          <t>in_pl_scen3_taxes</t>
        </is>
      </c>
      <c r="B391" t="inlineStr">
        <is>
          <t>P&amp;L</t>
        </is>
      </c>
      <c r="C391" t="inlineStr">
        <is>
          <t>$AH$31</t>
        </is>
      </c>
      <c r="D391" t="inlineStr">
        <is>
          <t>input</t>
        </is>
      </c>
      <c r="E391" t="inlineStr">
        <is>
          <t>currency</t>
        </is>
      </c>
      <c r="F391">
        <f>in_pl_scen3_taxes</f>
        <v/>
      </c>
      <c r="G391" t="inlineStr">
        <is>
          <t>scen3 scenario Year 1: Real Estate Taxes</t>
        </is>
      </c>
    </row>
    <row r="392">
      <c r="A392" s="98" t="inlineStr">
        <is>
          <t>in_pl_scen3_unmapped</t>
        </is>
      </c>
      <c r="B392" t="inlineStr">
        <is>
          <t>P&amp;L</t>
        </is>
      </c>
      <c r="C392" t="inlineStr">
        <is>
          <t>$AH$47</t>
        </is>
      </c>
      <c r="D392" t="inlineStr">
        <is>
          <t>input</t>
        </is>
      </c>
      <c r="E392" t="inlineStr">
        <is>
          <t>currency</t>
        </is>
      </c>
      <c r="F392">
        <f>in_pl_scen3_unmapped</f>
        <v/>
      </c>
      <c r="G392" t="inlineStr">
        <is>
          <t>scen3 scenario Year 1: Other / Unmapped</t>
        </is>
      </c>
    </row>
    <row r="393">
      <c r="A393" s="98" t="inlineStr">
        <is>
          <t>in_pl_scen3_util_electric</t>
        </is>
      </c>
      <c r="B393" t="inlineStr">
        <is>
          <t>P&amp;L</t>
        </is>
      </c>
      <c r="C393" t="inlineStr">
        <is>
          <t>$AH$40</t>
        </is>
      </c>
      <c r="D393" t="inlineStr">
        <is>
          <t>input</t>
        </is>
      </c>
      <c r="E393" t="inlineStr">
        <is>
          <t>currency</t>
        </is>
      </c>
      <c r="F393">
        <f>in_pl_scen3_util_electric</f>
        <v/>
      </c>
      <c r="G393" t="inlineStr">
        <is>
          <t>scen3 scenario Year 1: Utilities - Electric</t>
        </is>
      </c>
    </row>
    <row r="394">
      <c r="A394" s="98" t="inlineStr">
        <is>
          <t>in_pl_scen3_util_gas</t>
        </is>
      </c>
      <c r="B394" t="inlineStr">
        <is>
          <t>P&amp;L</t>
        </is>
      </c>
      <c r="C394" t="inlineStr">
        <is>
          <t>$AH$42</t>
        </is>
      </c>
      <c r="D394" t="inlineStr">
        <is>
          <t>input</t>
        </is>
      </c>
      <c r="E394" t="inlineStr">
        <is>
          <t>currency</t>
        </is>
      </c>
      <c r="F394">
        <f>in_pl_scen3_util_gas</f>
        <v/>
      </c>
      <c r="G394" t="inlineStr">
        <is>
          <t>scen3 scenario Year 1: Utilities - Gas</t>
        </is>
      </c>
    </row>
    <row r="395">
      <c r="A395" s="98" t="inlineStr">
        <is>
          <t>in_pl_scen3_util_general</t>
        </is>
      </c>
      <c r="B395" t="inlineStr">
        <is>
          <t>P&amp;L</t>
        </is>
      </c>
      <c r="C395" t="inlineStr">
        <is>
          <t>$AH$39</t>
        </is>
      </c>
      <c r="D395" t="inlineStr">
        <is>
          <t>input</t>
        </is>
      </c>
      <c r="E395" t="inlineStr">
        <is>
          <t>currency</t>
        </is>
      </c>
      <c r="F395">
        <f>in_pl_scen3_util_general</f>
        <v/>
      </c>
      <c r="G395" t="inlineStr">
        <is>
          <t>scen3 scenario Year 1: Utilities - General</t>
        </is>
      </c>
    </row>
    <row r="396">
      <c r="A396" s="98" t="inlineStr">
        <is>
          <t>in_pl_scen3_util_trash</t>
        </is>
      </c>
      <c r="B396" t="inlineStr">
        <is>
          <t>P&amp;L</t>
        </is>
      </c>
      <c r="C396" t="inlineStr">
        <is>
          <t>$AH$43</t>
        </is>
      </c>
      <c r="D396" t="inlineStr">
        <is>
          <t>input</t>
        </is>
      </c>
      <c r="E396" t="inlineStr">
        <is>
          <t>currency</t>
        </is>
      </c>
      <c r="F396">
        <f>in_pl_scen3_util_trash</f>
        <v/>
      </c>
      <c r="G396" t="inlineStr">
        <is>
          <t>scen3 scenario Year 1: Utilities - Trash</t>
        </is>
      </c>
    </row>
    <row r="397">
      <c r="A397" s="98" t="inlineStr">
        <is>
          <t>in_pl_scen3_util_water</t>
        </is>
      </c>
      <c r="B397" t="inlineStr">
        <is>
          <t>P&amp;L</t>
        </is>
      </c>
      <c r="C397" t="inlineStr">
        <is>
          <t>$AH$41</t>
        </is>
      </c>
      <c r="D397" t="inlineStr">
        <is>
          <t>input</t>
        </is>
      </c>
      <c r="E397" t="inlineStr">
        <is>
          <t>currency</t>
        </is>
      </c>
      <c r="F397">
        <f>in_pl_scen3_util_water</f>
        <v/>
      </c>
      <c r="G397" t="inlineStr">
        <is>
          <t>scen3 scenario Year 1: Utilities - Water/Sewer</t>
        </is>
      </c>
    </row>
    <row r="398">
      <c r="A398" s="98" t="inlineStr">
        <is>
          <t>in_pl_scen3_utilities</t>
        </is>
      </c>
      <c r="B398" t="inlineStr">
        <is>
          <t>P&amp;L</t>
        </is>
      </c>
      <c r="C398" t="inlineStr">
        <is>
          <t>$AH$38</t>
        </is>
      </c>
      <c r="D398" t="inlineStr">
        <is>
          <t>input</t>
        </is>
      </c>
      <c r="E398" t="inlineStr">
        <is>
          <t>currency</t>
        </is>
      </c>
      <c r="F398">
        <f>in_pl_scen3_utilities</f>
        <v/>
      </c>
      <c r="G398" t="inlineStr">
        <is>
          <t>scen3 scenario Year 1: Utilities</t>
        </is>
      </c>
    </row>
    <row r="399">
      <c r="A399" s="98" t="inlineStr">
        <is>
          <t>in_pl_scen3_vacancy</t>
        </is>
      </c>
      <c r="B399" t="inlineStr">
        <is>
          <t>P&amp;L</t>
        </is>
      </c>
      <c r="C399" t="inlineStr">
        <is>
          <t>$AH$10</t>
        </is>
      </c>
      <c r="D399" t="inlineStr">
        <is>
          <t>input</t>
        </is>
      </c>
      <c r="E399" t="inlineStr">
        <is>
          <t>currency</t>
        </is>
      </c>
      <c r="F399">
        <f>in_pl_scen3_vacancy</f>
        <v/>
      </c>
      <c r="G399" t="inlineStr">
        <is>
          <t>scen3 scenario Year 1: Vacancy</t>
        </is>
      </c>
    </row>
    <row r="400">
      <c r="A400" s="98" t="inlineStr">
        <is>
          <t>in_pl_scen4_admin</t>
        </is>
      </c>
      <c r="B400" t="inlineStr">
        <is>
          <t>P&amp;L</t>
        </is>
      </c>
      <c r="C400" t="inlineStr">
        <is>
          <t>$AJ$45</t>
        </is>
      </c>
      <c r="D400" t="inlineStr">
        <is>
          <t>input</t>
        </is>
      </c>
      <c r="E400" t="inlineStr">
        <is>
          <t>currency</t>
        </is>
      </c>
      <c r="F400">
        <f>in_pl_scen4_admin</f>
        <v/>
      </c>
      <c r="G400" t="inlineStr">
        <is>
          <t>scen4 scenario Year 1: Administrative</t>
        </is>
      </c>
    </row>
    <row r="401">
      <c r="A401" s="98" t="inlineStr">
        <is>
          <t>in_pl_scen4_bad_debt</t>
        </is>
      </c>
      <c r="B401" t="inlineStr">
        <is>
          <t>P&amp;L</t>
        </is>
      </c>
      <c r="C401" t="inlineStr">
        <is>
          <t>$AJ$13</t>
        </is>
      </c>
      <c r="D401" t="inlineStr">
        <is>
          <t>input</t>
        </is>
      </c>
      <c r="E401" t="inlineStr">
        <is>
          <t>currency</t>
        </is>
      </c>
      <c r="F401">
        <f>in_pl_scen4_bad_debt</f>
        <v/>
      </c>
      <c r="G401" t="inlineStr">
        <is>
          <t>scen4 scenario Year 1: Bad Debt/Collection Loss</t>
        </is>
      </c>
    </row>
    <row r="402">
      <c r="A402" s="98" t="inlineStr">
        <is>
          <t>in_pl_scen4_commercial</t>
        </is>
      </c>
      <c r="B402" t="inlineStr">
        <is>
          <t>P&amp;L</t>
        </is>
      </c>
      <c r="C402" t="inlineStr">
        <is>
          <t>$AJ$20</t>
        </is>
      </c>
      <c r="D402" t="inlineStr">
        <is>
          <t>input</t>
        </is>
      </c>
      <c r="E402" t="inlineStr">
        <is>
          <t>currency</t>
        </is>
      </c>
      <c r="F402">
        <f>in_pl_scen4_commercial</f>
        <v/>
      </c>
      <c r="G402" t="inlineStr">
        <is>
          <t>scen4 scenario Year 1: Commercial Rent</t>
        </is>
      </c>
    </row>
    <row r="403">
      <c r="A403" s="98" t="inlineStr">
        <is>
          <t>in_pl_scen4_concessions</t>
        </is>
      </c>
      <c r="B403" t="inlineStr">
        <is>
          <t>P&amp;L</t>
        </is>
      </c>
      <c r="C403" t="inlineStr">
        <is>
          <t>$AJ$12</t>
        </is>
      </c>
      <c r="D403" t="inlineStr">
        <is>
          <t>input</t>
        </is>
      </c>
      <c r="E403" t="inlineStr">
        <is>
          <t>currency</t>
        </is>
      </c>
      <c r="F403">
        <f>in_pl_scen4_concessions</f>
        <v/>
      </c>
      <c r="G403" t="inlineStr">
        <is>
          <t>scen4 scenario Year 1: Concessions</t>
        </is>
      </c>
    </row>
    <row r="404">
      <c r="A404" s="98" t="inlineStr">
        <is>
          <t>in_pl_scen4_gpr</t>
        </is>
      </c>
      <c r="B404" t="inlineStr">
        <is>
          <t>P&amp;L</t>
        </is>
      </c>
      <c r="C404" t="inlineStr">
        <is>
          <t>$AJ$8</t>
        </is>
      </c>
      <c r="D404" t="inlineStr">
        <is>
          <t>input</t>
        </is>
      </c>
      <c r="E404" t="inlineStr">
        <is>
          <t>currency</t>
        </is>
      </c>
      <c r="F404">
        <f>in_pl_scen4_gpr</f>
        <v/>
      </c>
      <c r="G404" t="inlineStr">
        <is>
          <t>scen4 scenario Year 1: Residential Income (GPR)</t>
        </is>
      </c>
    </row>
    <row r="405">
      <c r="A405" s="98" t="inlineStr">
        <is>
          <t>in_pl_scen4_insurance</t>
        </is>
      </c>
      <c r="B405" t="inlineStr">
        <is>
          <t>P&amp;L</t>
        </is>
      </c>
      <c r="C405" t="inlineStr">
        <is>
          <t>$AJ$32</t>
        </is>
      </c>
      <c r="D405" t="inlineStr">
        <is>
          <t>input</t>
        </is>
      </c>
      <c r="E405" t="inlineStr">
        <is>
          <t>currency</t>
        </is>
      </c>
      <c r="F405">
        <f>in_pl_scen4_insurance</f>
        <v/>
      </c>
      <c r="G405" t="inlineStr">
        <is>
          <t>scen4 scenario Year 1: Insurance</t>
        </is>
      </c>
    </row>
    <row r="406">
      <c r="A406" s="98" t="inlineStr">
        <is>
          <t>in_pl_scen4_ltl</t>
        </is>
      </c>
      <c r="B406" t="inlineStr">
        <is>
          <t>P&amp;L</t>
        </is>
      </c>
      <c r="C406" t="inlineStr">
        <is>
          <t>$AJ$9</t>
        </is>
      </c>
      <c r="D406" t="inlineStr">
        <is>
          <t>input</t>
        </is>
      </c>
      <c r="E406" t="inlineStr">
        <is>
          <t>currency</t>
        </is>
      </c>
      <c r="F406">
        <f>in_pl_scen4_ltl</f>
        <v/>
      </c>
      <c r="G406" t="inlineStr">
        <is>
          <t>scen4 scenario Year 1: Loss to Lease</t>
        </is>
      </c>
    </row>
    <row r="407">
      <c r="A407" s="98" t="inlineStr">
        <is>
          <t>in_pl_scen4_marketing</t>
        </is>
      </c>
      <c r="B407" t="inlineStr">
        <is>
          <t>P&amp;L</t>
        </is>
      </c>
      <c r="C407" t="inlineStr">
        <is>
          <t>$AJ$44</t>
        </is>
      </c>
      <c r="D407" t="inlineStr">
        <is>
          <t>input</t>
        </is>
      </c>
      <c r="E407" t="inlineStr">
        <is>
          <t>currency</t>
        </is>
      </c>
      <c r="F407">
        <f>in_pl_scen4_marketing</f>
        <v/>
      </c>
      <c r="G407" t="inlineStr">
        <is>
          <t>scen4 scenario Year 1: Marketing/Advertising</t>
        </is>
      </c>
    </row>
    <row r="408">
      <c r="A408" s="98" t="inlineStr">
        <is>
          <t>in_pl_scen4_mgmt</t>
        </is>
      </c>
      <c r="B408" t="inlineStr">
        <is>
          <t>P&amp;L</t>
        </is>
      </c>
      <c r="C408" t="inlineStr">
        <is>
          <t>$AJ$46</t>
        </is>
      </c>
      <c r="D408" t="inlineStr">
        <is>
          <t>input</t>
        </is>
      </c>
      <c r="E408" t="inlineStr">
        <is>
          <t>currency</t>
        </is>
      </c>
      <c r="F408">
        <f>in_pl_scen4_mgmt</f>
        <v/>
      </c>
      <c r="G408" t="inlineStr">
        <is>
          <t>scen4 scenario Year 1: Property Management</t>
        </is>
      </c>
    </row>
    <row r="409">
      <c r="A409" s="98" t="inlineStr">
        <is>
          <t>in_pl_scen4_name</t>
        </is>
      </c>
      <c r="B409" t="inlineStr">
        <is>
          <t>P&amp;L</t>
        </is>
      </c>
      <c r="C409" t="inlineStr">
        <is>
          <t>$AJ$6</t>
        </is>
      </c>
      <c r="D409" t="inlineStr">
        <is>
          <t>input</t>
        </is>
      </c>
      <c r="E409" t="inlineStr">
        <is>
          <t>text</t>
        </is>
      </c>
      <c r="F409">
        <f>in_pl_scen4_name</f>
        <v/>
      </c>
      <c r="G409" t="inlineStr">
        <is>
          <t>scen4 scenario column name — shown in the P&amp;L header and in the scenario dropdown</t>
        </is>
      </c>
      <c r="H409" s="95" t="inlineStr">
        <is>
          <t>'="Scenario 4"</t>
        </is>
      </c>
    </row>
    <row r="410">
      <c r="A410" s="98" t="inlineStr">
        <is>
          <t>in_pl_scen4_nonrev</t>
        </is>
      </c>
      <c r="B410" t="inlineStr">
        <is>
          <t>P&amp;L</t>
        </is>
      </c>
      <c r="C410" t="inlineStr">
        <is>
          <t>$AJ$11</t>
        </is>
      </c>
      <c r="D410" t="inlineStr">
        <is>
          <t>input</t>
        </is>
      </c>
      <c r="E410" t="inlineStr">
        <is>
          <t>currency</t>
        </is>
      </c>
      <c r="F410">
        <f>in_pl_scen4_nonrev</f>
        <v/>
      </c>
      <c r="G410" t="inlineStr">
        <is>
          <t>scen4 scenario Year 1: Non-Revenue Units</t>
        </is>
      </c>
    </row>
    <row r="411">
      <c r="A411" s="98" t="inlineStr">
        <is>
          <t>in_pl_scen4_oth_fees</t>
        </is>
      </c>
      <c r="B411" t="inlineStr">
        <is>
          <t>P&amp;L</t>
        </is>
      </c>
      <c r="C411" t="inlineStr">
        <is>
          <t>$AJ$25</t>
        </is>
      </c>
      <c r="D411" t="inlineStr">
        <is>
          <t>input</t>
        </is>
      </c>
      <c r="E411" t="inlineStr">
        <is>
          <t>currency</t>
        </is>
      </c>
      <c r="F411">
        <f>in_pl_scen4_oth_fees</f>
        <v/>
      </c>
      <c r="G411" t="inlineStr">
        <is>
          <t>scen4 scenario Year 1: Other Income - App/Admin/Late Fees</t>
        </is>
      </c>
    </row>
    <row r="412">
      <c r="A412" s="98" t="inlineStr">
        <is>
          <t>in_pl_scen4_oth_general</t>
        </is>
      </c>
      <c r="B412" t="inlineStr">
        <is>
          <t>P&amp;L</t>
        </is>
      </c>
      <c r="C412" t="inlineStr">
        <is>
          <t>$AJ$22</t>
        </is>
      </c>
      <c r="D412" t="inlineStr">
        <is>
          <t>input</t>
        </is>
      </c>
      <c r="E412" t="inlineStr">
        <is>
          <t>currency</t>
        </is>
      </c>
      <c r="F412">
        <f>in_pl_scen4_oth_general</f>
        <v/>
      </c>
      <c r="G412" t="inlineStr">
        <is>
          <t>scen4 scenario Year 1: Other Income - General</t>
        </is>
      </c>
    </row>
    <row r="413">
      <c r="A413" s="98" t="inlineStr">
        <is>
          <t>in_pl_scen4_oth_laundry</t>
        </is>
      </c>
      <c r="B413" t="inlineStr">
        <is>
          <t>P&amp;L</t>
        </is>
      </c>
      <c r="C413" t="inlineStr">
        <is>
          <t>$AJ$27</t>
        </is>
      </c>
      <c r="D413" t="inlineStr">
        <is>
          <t>input</t>
        </is>
      </c>
      <c r="E413" t="inlineStr">
        <is>
          <t>currency</t>
        </is>
      </c>
      <c r="F413">
        <f>in_pl_scen4_oth_laundry</f>
        <v/>
      </c>
      <c r="G413" t="inlineStr">
        <is>
          <t>scen4 scenario Year 1: Other Income - Laundry/Vending</t>
        </is>
      </c>
    </row>
    <row r="414">
      <c r="A414" s="98" t="inlineStr">
        <is>
          <t>in_pl_scen4_oth_parking</t>
        </is>
      </c>
      <c r="B414" t="inlineStr">
        <is>
          <t>P&amp;L</t>
        </is>
      </c>
      <c r="C414" t="inlineStr">
        <is>
          <t>$AJ$23</t>
        </is>
      </c>
      <c r="D414" t="inlineStr">
        <is>
          <t>input</t>
        </is>
      </c>
      <c r="E414" t="inlineStr">
        <is>
          <t>currency</t>
        </is>
      </c>
      <c r="F414">
        <f>in_pl_scen4_oth_parking</f>
        <v/>
      </c>
      <c r="G414" t="inlineStr">
        <is>
          <t>scen4 scenario Year 1: Other Income - Parking Income</t>
        </is>
      </c>
    </row>
    <row r="415">
      <c r="A415" s="98" t="inlineStr">
        <is>
          <t>in_pl_scen4_oth_pet</t>
        </is>
      </c>
      <c r="B415" t="inlineStr">
        <is>
          <t>P&amp;L</t>
        </is>
      </c>
      <c r="C415" t="inlineStr">
        <is>
          <t>$AJ$24</t>
        </is>
      </c>
      <c r="D415" t="inlineStr">
        <is>
          <t>input</t>
        </is>
      </c>
      <c r="E415" t="inlineStr">
        <is>
          <t>currency</t>
        </is>
      </c>
      <c r="F415">
        <f>in_pl_scen4_oth_pet</f>
        <v/>
      </c>
      <c r="G415" t="inlineStr">
        <is>
          <t>scen4 scenario Year 1: Other Income - Pet Rent/Fees</t>
        </is>
      </c>
    </row>
    <row r="416">
      <c r="A416" s="98" t="inlineStr">
        <is>
          <t>in_pl_scen4_oth_storage</t>
        </is>
      </c>
      <c r="B416" t="inlineStr">
        <is>
          <t>P&amp;L</t>
        </is>
      </c>
      <c r="C416" t="inlineStr">
        <is>
          <t>$AJ$26</t>
        </is>
      </c>
      <c r="D416" t="inlineStr">
        <is>
          <t>input</t>
        </is>
      </c>
      <c r="E416" t="inlineStr">
        <is>
          <t>currency</t>
        </is>
      </c>
      <c r="F416">
        <f>in_pl_scen4_oth_storage</f>
        <v/>
      </c>
      <c r="G416" t="inlineStr">
        <is>
          <t>scen4 scenario Year 1: Other Income - Storage</t>
        </is>
      </c>
    </row>
    <row r="417">
      <c r="A417" s="98" t="inlineStr">
        <is>
          <t>in_pl_scen4_other</t>
        </is>
      </c>
      <c r="B417" t="inlineStr">
        <is>
          <t>P&amp;L</t>
        </is>
      </c>
      <c r="C417" t="inlineStr">
        <is>
          <t>$AJ$21</t>
        </is>
      </c>
      <c r="D417" t="inlineStr">
        <is>
          <t>input</t>
        </is>
      </c>
      <c r="E417" t="inlineStr">
        <is>
          <t>currency</t>
        </is>
      </c>
      <c r="F417">
        <f>in_pl_scen4_other</f>
        <v/>
      </c>
      <c r="G417" t="inlineStr">
        <is>
          <t>scen4 scenario Year 1: Other Income</t>
        </is>
      </c>
    </row>
    <row r="418">
      <c r="A418" s="98" t="inlineStr">
        <is>
          <t>in_pl_scen4_reimb</t>
        </is>
      </c>
      <c r="B418" t="inlineStr">
        <is>
          <t>P&amp;L</t>
        </is>
      </c>
      <c r="C418" t="inlineStr">
        <is>
          <t>$AJ$14</t>
        </is>
      </c>
      <c r="D418" t="inlineStr">
        <is>
          <t>input</t>
        </is>
      </c>
      <c r="E418" t="inlineStr">
        <is>
          <t>currency</t>
        </is>
      </c>
      <c r="F418">
        <f>in_pl_scen4_reimb</f>
        <v/>
      </c>
      <c r="G418" t="inlineStr">
        <is>
          <t>scen4 scenario Year 1: Reimbursements (RUBS)</t>
        </is>
      </c>
    </row>
    <row r="419">
      <c r="A419" s="98" t="inlineStr">
        <is>
          <t>in_pl_scen4_reimb_electric</t>
        </is>
      </c>
      <c r="B419" t="inlineStr">
        <is>
          <t>P&amp;L</t>
        </is>
      </c>
      <c r="C419" t="inlineStr">
        <is>
          <t>$AJ$16</t>
        </is>
      </c>
      <c r="D419" t="inlineStr">
        <is>
          <t>input</t>
        </is>
      </c>
      <c r="E419" t="inlineStr">
        <is>
          <t>currency</t>
        </is>
      </c>
      <c r="F419">
        <f>in_pl_scen4_reimb_electric</f>
        <v/>
      </c>
      <c r="G419" t="inlineStr">
        <is>
          <t>scen4 scenario Year 1: Reimbursements (RUBS) - Electric</t>
        </is>
      </c>
    </row>
    <row r="420">
      <c r="A420" s="98" t="inlineStr">
        <is>
          <t>in_pl_scen4_reimb_gas</t>
        </is>
      </c>
      <c r="B420" t="inlineStr">
        <is>
          <t>P&amp;L</t>
        </is>
      </c>
      <c r="C420" t="inlineStr">
        <is>
          <t>$AJ$18</t>
        </is>
      </c>
      <c r="D420" t="inlineStr">
        <is>
          <t>input</t>
        </is>
      </c>
      <c r="E420" t="inlineStr">
        <is>
          <t>currency</t>
        </is>
      </c>
      <c r="F420">
        <f>in_pl_scen4_reimb_gas</f>
        <v/>
      </c>
      <c r="G420" t="inlineStr">
        <is>
          <t>scen4 scenario Year 1: Reimbursements (RUBS) - Gas</t>
        </is>
      </c>
    </row>
    <row r="421">
      <c r="A421" s="98" t="inlineStr">
        <is>
          <t>in_pl_scen4_reimb_general</t>
        </is>
      </c>
      <c r="B421" t="inlineStr">
        <is>
          <t>P&amp;L</t>
        </is>
      </c>
      <c r="C421" t="inlineStr">
        <is>
          <t>$AJ$15</t>
        </is>
      </c>
      <c r="D421" t="inlineStr">
        <is>
          <t>input</t>
        </is>
      </c>
      <c r="E421" t="inlineStr">
        <is>
          <t>currency</t>
        </is>
      </c>
      <c r="F421">
        <f>in_pl_scen4_reimb_general</f>
        <v/>
      </c>
      <c r="G421" t="inlineStr">
        <is>
          <t>scen4 scenario Year 1: Reimbursements (RUBS) - General</t>
        </is>
      </c>
    </row>
    <row r="422">
      <c r="A422" s="98" t="inlineStr">
        <is>
          <t>in_pl_scen4_reimb_trash</t>
        </is>
      </c>
      <c r="B422" t="inlineStr">
        <is>
          <t>P&amp;L</t>
        </is>
      </c>
      <c r="C422" t="inlineStr">
        <is>
          <t>$AJ$19</t>
        </is>
      </c>
      <c r="D422" t="inlineStr">
        <is>
          <t>input</t>
        </is>
      </c>
      <c r="E422" t="inlineStr">
        <is>
          <t>currency</t>
        </is>
      </c>
      <c r="F422">
        <f>in_pl_scen4_reimb_trash</f>
        <v/>
      </c>
      <c r="G422" t="inlineStr">
        <is>
          <t>scen4 scenario Year 1: Reimbursements (RUBS) - Trash</t>
        </is>
      </c>
    </row>
    <row r="423">
      <c r="A423" s="98" t="inlineStr">
        <is>
          <t>in_pl_scen4_reimb_water</t>
        </is>
      </c>
      <c r="B423" t="inlineStr">
        <is>
          <t>P&amp;L</t>
        </is>
      </c>
      <c r="C423" t="inlineStr">
        <is>
          <t>$AJ$17</t>
        </is>
      </c>
      <c r="D423" t="inlineStr">
        <is>
          <t>input</t>
        </is>
      </c>
      <c r="E423" t="inlineStr">
        <is>
          <t>currency</t>
        </is>
      </c>
      <c r="F423">
        <f>in_pl_scen4_reimb_water</f>
        <v/>
      </c>
      <c r="G423" t="inlineStr">
        <is>
          <t>scen4 scenario Year 1: Reimbursements (RUBS) - Water/Sewer</t>
        </is>
      </c>
    </row>
    <row r="424">
      <c r="A424" s="98" t="inlineStr">
        <is>
          <t>in_pl_scen4_rm</t>
        </is>
      </c>
      <c r="B424" t="inlineStr">
        <is>
          <t>P&amp;L</t>
        </is>
      </c>
      <c r="C424" t="inlineStr">
        <is>
          <t>$AJ$34</t>
        </is>
      </c>
      <c r="D424" t="inlineStr">
        <is>
          <t>input</t>
        </is>
      </c>
      <c r="E424" t="inlineStr">
        <is>
          <t>currency</t>
        </is>
      </c>
      <c r="F424">
        <f>in_pl_scen4_rm</f>
        <v/>
      </c>
      <c r="G424" t="inlineStr">
        <is>
          <t>scen4 scenario Year 1: Repairs and Maintenance</t>
        </is>
      </c>
    </row>
    <row r="425">
      <c r="A425" s="98" t="inlineStr">
        <is>
          <t>in_pl_scen4_rm_contract</t>
        </is>
      </c>
      <c r="B425" t="inlineStr">
        <is>
          <t>P&amp;L</t>
        </is>
      </c>
      <c r="C425" t="inlineStr">
        <is>
          <t>$AJ$36</t>
        </is>
      </c>
      <c r="D425" t="inlineStr">
        <is>
          <t>input</t>
        </is>
      </c>
      <c r="E425" t="inlineStr">
        <is>
          <t>currency</t>
        </is>
      </c>
      <c r="F425">
        <f>in_pl_scen4_rm_contract</f>
        <v/>
      </c>
      <c r="G425" t="inlineStr">
        <is>
          <t>scen4 scenario Year 1: Repairs and Maintenance - Contract Services</t>
        </is>
      </c>
    </row>
    <row r="426">
      <c r="A426" s="98" t="inlineStr">
        <is>
          <t>in_pl_scen4_rm_general</t>
        </is>
      </c>
      <c r="B426" t="inlineStr">
        <is>
          <t>P&amp;L</t>
        </is>
      </c>
      <c r="C426" t="inlineStr">
        <is>
          <t>$AJ$35</t>
        </is>
      </c>
      <c r="D426" t="inlineStr">
        <is>
          <t>input</t>
        </is>
      </c>
      <c r="E426" t="inlineStr">
        <is>
          <t>currency</t>
        </is>
      </c>
      <c r="F426">
        <f>in_pl_scen4_rm_general</f>
        <v/>
      </c>
      <c r="G426" t="inlineStr">
        <is>
          <t>scen4 scenario Year 1: Repairs and Maintenance - General</t>
        </is>
      </c>
    </row>
    <row r="427">
      <c r="A427" s="98" t="inlineStr">
        <is>
          <t>in_pl_scen4_rm_turnover</t>
        </is>
      </c>
      <c r="B427" t="inlineStr">
        <is>
          <t>P&amp;L</t>
        </is>
      </c>
      <c r="C427" t="inlineStr">
        <is>
          <t>$AJ$37</t>
        </is>
      </c>
      <c r="D427" t="inlineStr">
        <is>
          <t>input</t>
        </is>
      </c>
      <c r="E427" t="inlineStr">
        <is>
          <t>currency</t>
        </is>
      </c>
      <c r="F427">
        <f>in_pl_scen4_rm_turnover</f>
        <v/>
      </c>
      <c r="G427" t="inlineStr">
        <is>
          <t>scen4 scenario Year 1: Repairs and Maintenance - Turnover</t>
        </is>
      </c>
    </row>
    <row r="428">
      <c r="A428" s="98" t="inlineStr">
        <is>
          <t>in_pl_scen4_salaries</t>
        </is>
      </c>
      <c r="B428" t="inlineStr">
        <is>
          <t>P&amp;L</t>
        </is>
      </c>
      <c r="C428" t="inlineStr">
        <is>
          <t>$AJ$33</t>
        </is>
      </c>
      <c r="D428" t="inlineStr">
        <is>
          <t>input</t>
        </is>
      </c>
      <c r="E428" t="inlineStr">
        <is>
          <t>currency</t>
        </is>
      </c>
      <c r="F428">
        <f>in_pl_scen4_salaries</f>
        <v/>
      </c>
      <c r="G428" t="inlineStr">
        <is>
          <t>scen4 scenario Year 1: Salaries</t>
        </is>
      </c>
    </row>
    <row r="429">
      <c r="A429" s="98" t="inlineStr">
        <is>
          <t>in_pl_scen4_taxes</t>
        </is>
      </c>
      <c r="B429" t="inlineStr">
        <is>
          <t>P&amp;L</t>
        </is>
      </c>
      <c r="C429" t="inlineStr">
        <is>
          <t>$AJ$31</t>
        </is>
      </c>
      <c r="D429" t="inlineStr">
        <is>
          <t>input</t>
        </is>
      </c>
      <c r="E429" t="inlineStr">
        <is>
          <t>currency</t>
        </is>
      </c>
      <c r="F429">
        <f>in_pl_scen4_taxes</f>
        <v/>
      </c>
      <c r="G429" t="inlineStr">
        <is>
          <t>scen4 scenario Year 1: Real Estate Taxes</t>
        </is>
      </c>
    </row>
    <row r="430">
      <c r="A430" s="98" t="inlineStr">
        <is>
          <t>in_pl_scen4_unmapped</t>
        </is>
      </c>
      <c r="B430" t="inlineStr">
        <is>
          <t>P&amp;L</t>
        </is>
      </c>
      <c r="C430" t="inlineStr">
        <is>
          <t>$AJ$47</t>
        </is>
      </c>
      <c r="D430" t="inlineStr">
        <is>
          <t>input</t>
        </is>
      </c>
      <c r="E430" t="inlineStr">
        <is>
          <t>currency</t>
        </is>
      </c>
      <c r="F430">
        <f>in_pl_scen4_unmapped</f>
        <v/>
      </c>
      <c r="G430" t="inlineStr">
        <is>
          <t>scen4 scenario Year 1: Other / Unmapped</t>
        </is>
      </c>
    </row>
    <row r="431">
      <c r="A431" s="98" t="inlineStr">
        <is>
          <t>in_pl_scen4_util_electric</t>
        </is>
      </c>
      <c r="B431" t="inlineStr">
        <is>
          <t>P&amp;L</t>
        </is>
      </c>
      <c r="C431" t="inlineStr">
        <is>
          <t>$AJ$40</t>
        </is>
      </c>
      <c r="D431" t="inlineStr">
        <is>
          <t>input</t>
        </is>
      </c>
      <c r="E431" t="inlineStr">
        <is>
          <t>currency</t>
        </is>
      </c>
      <c r="F431">
        <f>in_pl_scen4_util_electric</f>
        <v/>
      </c>
      <c r="G431" t="inlineStr">
        <is>
          <t>scen4 scenario Year 1: Utilities - Electric</t>
        </is>
      </c>
    </row>
    <row r="432">
      <c r="A432" s="98" t="inlineStr">
        <is>
          <t>in_pl_scen4_util_gas</t>
        </is>
      </c>
      <c r="B432" t="inlineStr">
        <is>
          <t>P&amp;L</t>
        </is>
      </c>
      <c r="C432" t="inlineStr">
        <is>
          <t>$AJ$42</t>
        </is>
      </c>
      <c r="D432" t="inlineStr">
        <is>
          <t>input</t>
        </is>
      </c>
      <c r="E432" t="inlineStr">
        <is>
          <t>currency</t>
        </is>
      </c>
      <c r="F432">
        <f>in_pl_scen4_util_gas</f>
        <v/>
      </c>
      <c r="G432" t="inlineStr">
        <is>
          <t>scen4 scenario Year 1: Utilities - Gas</t>
        </is>
      </c>
    </row>
    <row r="433">
      <c r="A433" s="98" t="inlineStr">
        <is>
          <t>in_pl_scen4_util_general</t>
        </is>
      </c>
      <c r="B433" t="inlineStr">
        <is>
          <t>P&amp;L</t>
        </is>
      </c>
      <c r="C433" t="inlineStr">
        <is>
          <t>$AJ$39</t>
        </is>
      </c>
      <c r="D433" t="inlineStr">
        <is>
          <t>input</t>
        </is>
      </c>
      <c r="E433" t="inlineStr">
        <is>
          <t>currency</t>
        </is>
      </c>
      <c r="F433">
        <f>in_pl_scen4_util_general</f>
        <v/>
      </c>
      <c r="G433" t="inlineStr">
        <is>
          <t>scen4 scenario Year 1: Utilities - General</t>
        </is>
      </c>
    </row>
    <row r="434">
      <c r="A434" s="98" t="inlineStr">
        <is>
          <t>in_pl_scen4_util_trash</t>
        </is>
      </c>
      <c r="B434" t="inlineStr">
        <is>
          <t>P&amp;L</t>
        </is>
      </c>
      <c r="C434" t="inlineStr">
        <is>
          <t>$AJ$43</t>
        </is>
      </c>
      <c r="D434" t="inlineStr">
        <is>
          <t>input</t>
        </is>
      </c>
      <c r="E434" t="inlineStr">
        <is>
          <t>currency</t>
        </is>
      </c>
      <c r="F434">
        <f>in_pl_scen4_util_trash</f>
        <v/>
      </c>
      <c r="G434" t="inlineStr">
        <is>
          <t>scen4 scenario Year 1: Utilities - Trash</t>
        </is>
      </c>
    </row>
    <row r="435">
      <c r="A435" s="98" t="inlineStr">
        <is>
          <t>in_pl_scen4_util_water</t>
        </is>
      </c>
      <c r="B435" t="inlineStr">
        <is>
          <t>P&amp;L</t>
        </is>
      </c>
      <c r="C435" t="inlineStr">
        <is>
          <t>$AJ$41</t>
        </is>
      </c>
      <c r="D435" t="inlineStr">
        <is>
          <t>input</t>
        </is>
      </c>
      <c r="E435" t="inlineStr">
        <is>
          <t>currency</t>
        </is>
      </c>
      <c r="F435">
        <f>in_pl_scen4_util_water</f>
        <v/>
      </c>
      <c r="G435" t="inlineStr">
        <is>
          <t>scen4 scenario Year 1: Utilities - Water/Sewer</t>
        </is>
      </c>
    </row>
    <row r="436">
      <c r="A436" s="98" t="inlineStr">
        <is>
          <t>in_pl_scen4_utilities</t>
        </is>
      </c>
      <c r="B436" t="inlineStr">
        <is>
          <t>P&amp;L</t>
        </is>
      </c>
      <c r="C436" t="inlineStr">
        <is>
          <t>$AJ$38</t>
        </is>
      </c>
      <c r="D436" t="inlineStr">
        <is>
          <t>input</t>
        </is>
      </c>
      <c r="E436" t="inlineStr">
        <is>
          <t>currency</t>
        </is>
      </c>
      <c r="F436">
        <f>in_pl_scen4_utilities</f>
        <v/>
      </c>
      <c r="G436" t="inlineStr">
        <is>
          <t>scen4 scenario Year 1: Utilities</t>
        </is>
      </c>
    </row>
    <row r="437">
      <c r="A437" s="98" t="inlineStr">
        <is>
          <t>in_pl_scen4_vacancy</t>
        </is>
      </c>
      <c r="B437" t="inlineStr">
        <is>
          <t>P&amp;L</t>
        </is>
      </c>
      <c r="C437" t="inlineStr">
        <is>
          <t>$AJ$10</t>
        </is>
      </c>
      <c r="D437" t="inlineStr">
        <is>
          <t>input</t>
        </is>
      </c>
      <c r="E437" t="inlineStr">
        <is>
          <t>currency</t>
        </is>
      </c>
      <c r="F437">
        <f>in_pl_scen4_vacancy</f>
        <v/>
      </c>
      <c r="G437" t="inlineStr">
        <is>
          <t>scen4 scenario Year 1: Vacancy</t>
        </is>
      </c>
    </row>
    <row r="438">
      <c r="A438" s="98" t="inlineStr">
        <is>
          <t>in_pl_scenario</t>
        </is>
      </c>
      <c r="B438" t="inlineStr">
        <is>
          <t>P&amp;L</t>
        </is>
      </c>
      <c r="C438" t="inlineStr">
        <is>
          <t>$AB$4</t>
        </is>
      </c>
      <c r="D438" t="inlineStr">
        <is>
          <t>input</t>
        </is>
      </c>
      <c r="E438" t="inlineStr">
        <is>
          <t>text</t>
        </is>
      </c>
      <c r="F438">
        <f>in_pl_scenario</f>
        <v/>
      </c>
      <c r="G438" t="inlineStr">
        <is>
          <t>Year-1 scenario driving the model (matches a scenario column header); defaults to Market Estimate until a real (non-estimate) T12 exists, then the statement basis</t>
        </is>
      </c>
      <c r="H438" s="95" t="inlineStr">
        <is>
          <t>'=IF(AND('P&amp;L'!$U$28&gt;0,OR('P&amp;L'!$AM$4&lt;&gt;"Yes",N('Preferences'!$C$39)&lt;=0)),'P&amp;L'!$U$6,"Market Estimate")</t>
        </is>
      </c>
    </row>
    <row r="439">
      <c r="A439" s="98" t="inlineStr">
        <is>
          <t>in_pl_t12_basis</t>
        </is>
      </c>
      <c r="B439" t="inlineStr">
        <is>
          <t>P&amp;L</t>
        </is>
      </c>
      <c r="C439" t="inlineStr">
        <is>
          <t>$U$6</t>
        </is>
      </c>
      <c r="D439" t="inlineStr">
        <is>
          <t>input</t>
        </is>
      </c>
      <c r="E439" t="inlineStr">
        <is>
          <t>enum</t>
        </is>
      </c>
      <c r="F439">
        <f>in_pl_t12_basis</f>
        <v/>
      </c>
      <c r="G439" t="inlineStr">
        <is>
          <t>underwriting basis for the adjusted column: T12/T9/T6/T3</t>
        </is>
      </c>
    </row>
    <row r="440">
      <c r="A440" s="98" t="inlineStr">
        <is>
          <t>in_pl_y1_admin</t>
        </is>
      </c>
      <c r="B440" t="inlineStr">
        <is>
          <t>P&amp;L</t>
        </is>
      </c>
      <c r="C440" t="inlineStr">
        <is>
          <t>$W$45</t>
        </is>
      </c>
      <c r="D440" t="inlineStr">
        <is>
          <t>input</t>
        </is>
      </c>
      <c r="E440" t="inlineStr">
        <is>
          <t>currency</t>
        </is>
      </c>
      <c r="F440">
        <f>in_pl_y1_admin</f>
        <v/>
      </c>
      <c r="G440" t="inlineStr">
        <is>
          <t>Year 1 input: Administrative</t>
        </is>
      </c>
    </row>
    <row r="441">
      <c r="A441" s="98" t="inlineStr">
        <is>
          <t>in_pl_y1_bad_debt</t>
        </is>
      </c>
      <c r="B441" t="inlineStr">
        <is>
          <t>P&amp;L</t>
        </is>
      </c>
      <c r="C441" t="inlineStr">
        <is>
          <t>$W$13</t>
        </is>
      </c>
      <c r="D441" t="inlineStr">
        <is>
          <t>input</t>
        </is>
      </c>
      <c r="E441" t="inlineStr">
        <is>
          <t>currency</t>
        </is>
      </c>
      <c r="F441">
        <f>in_pl_y1_bad_debt</f>
        <v/>
      </c>
      <c r="G441" t="inlineStr">
        <is>
          <t>Year 1 input: Bad Debt/Collection Loss</t>
        </is>
      </c>
    </row>
    <row r="442">
      <c r="A442" s="98" t="inlineStr">
        <is>
          <t>in_pl_y1_commercial</t>
        </is>
      </c>
      <c r="B442" t="inlineStr">
        <is>
          <t>P&amp;L</t>
        </is>
      </c>
      <c r="C442" t="inlineStr">
        <is>
          <t>$W$20</t>
        </is>
      </c>
      <c r="D442" t="inlineStr">
        <is>
          <t>input</t>
        </is>
      </c>
      <c r="E442" t="inlineStr">
        <is>
          <t>currency</t>
        </is>
      </c>
      <c r="F442">
        <f>in_pl_y1_commercial</f>
        <v/>
      </c>
      <c r="G442" t="inlineStr">
        <is>
          <t>Year 1 input: Commercial Rent</t>
        </is>
      </c>
    </row>
    <row r="443">
      <c r="A443" s="98" t="inlineStr">
        <is>
          <t>in_pl_y1_concessions</t>
        </is>
      </c>
      <c r="B443" t="inlineStr">
        <is>
          <t>P&amp;L</t>
        </is>
      </c>
      <c r="C443" t="inlineStr">
        <is>
          <t>$W$12</t>
        </is>
      </c>
      <c r="D443" t="inlineStr">
        <is>
          <t>input</t>
        </is>
      </c>
      <c r="E443" t="inlineStr">
        <is>
          <t>currency</t>
        </is>
      </c>
      <c r="F443">
        <f>in_pl_y1_concessions</f>
        <v/>
      </c>
      <c r="G443" t="inlineStr">
        <is>
          <t>Year 1 input: Concessions</t>
        </is>
      </c>
    </row>
    <row r="444">
      <c r="A444" s="98" t="inlineStr">
        <is>
          <t>in_pl_y1_gpr</t>
        </is>
      </c>
      <c r="B444" t="inlineStr">
        <is>
          <t>P&amp;L</t>
        </is>
      </c>
      <c r="C444" t="inlineStr">
        <is>
          <t>$W$8</t>
        </is>
      </c>
      <c r="D444" t="inlineStr">
        <is>
          <t>input</t>
        </is>
      </c>
      <c r="E444" t="inlineStr">
        <is>
          <t>currency</t>
        </is>
      </c>
      <c r="F444">
        <f>in_pl_y1_gpr</f>
        <v/>
      </c>
      <c r="G444" t="inlineStr">
        <is>
          <t>Year 1 input: Residential Income (GPR)</t>
        </is>
      </c>
    </row>
    <row r="445">
      <c r="A445" s="98" t="inlineStr">
        <is>
          <t>in_pl_y1_insurance</t>
        </is>
      </c>
      <c r="B445" t="inlineStr">
        <is>
          <t>P&amp;L</t>
        </is>
      </c>
      <c r="C445" t="inlineStr">
        <is>
          <t>$W$32</t>
        </is>
      </c>
      <c r="D445" t="inlineStr">
        <is>
          <t>input</t>
        </is>
      </c>
      <c r="E445" t="inlineStr">
        <is>
          <t>currency</t>
        </is>
      </c>
      <c r="F445">
        <f>in_pl_y1_insurance</f>
        <v/>
      </c>
      <c r="G445" t="inlineStr">
        <is>
          <t>Year 1 input: Insurance</t>
        </is>
      </c>
    </row>
    <row r="446">
      <c r="A446" s="98" t="inlineStr">
        <is>
          <t>in_pl_y1_ltl</t>
        </is>
      </c>
      <c r="B446" t="inlineStr">
        <is>
          <t>P&amp;L</t>
        </is>
      </c>
      <c r="C446" t="inlineStr">
        <is>
          <t>$W$9</t>
        </is>
      </c>
      <c r="D446" t="inlineStr">
        <is>
          <t>input</t>
        </is>
      </c>
      <c r="E446" t="inlineStr">
        <is>
          <t>currency</t>
        </is>
      </c>
      <c r="F446">
        <f>in_pl_y1_ltl</f>
        <v/>
      </c>
      <c r="G446" t="inlineStr">
        <is>
          <t>Year 1 input: Loss to Lease</t>
        </is>
      </c>
    </row>
    <row r="447">
      <c r="A447" s="98" t="inlineStr">
        <is>
          <t>in_pl_y1_marketing</t>
        </is>
      </c>
      <c r="B447" t="inlineStr">
        <is>
          <t>P&amp;L</t>
        </is>
      </c>
      <c r="C447" t="inlineStr">
        <is>
          <t>$W$44</t>
        </is>
      </c>
      <c r="D447" t="inlineStr">
        <is>
          <t>input</t>
        </is>
      </c>
      <c r="E447" t="inlineStr">
        <is>
          <t>currency</t>
        </is>
      </c>
      <c r="F447">
        <f>in_pl_y1_marketing</f>
        <v/>
      </c>
      <c r="G447" t="inlineStr">
        <is>
          <t>Year 1 input: Marketing/Advertising</t>
        </is>
      </c>
    </row>
    <row r="448">
      <c r="A448" s="98" t="inlineStr">
        <is>
          <t>in_pl_y1_mgmt</t>
        </is>
      </c>
      <c r="B448" t="inlineStr">
        <is>
          <t>P&amp;L</t>
        </is>
      </c>
      <c r="C448" t="inlineStr">
        <is>
          <t>$W$46</t>
        </is>
      </c>
      <c r="D448" t="inlineStr">
        <is>
          <t>input</t>
        </is>
      </c>
      <c r="E448" t="inlineStr">
        <is>
          <t>currency</t>
        </is>
      </c>
      <c r="F448">
        <f>in_pl_y1_mgmt</f>
        <v/>
      </c>
      <c r="G448" t="inlineStr">
        <is>
          <t>Year 1 input: Property Management</t>
        </is>
      </c>
    </row>
    <row r="449">
      <c r="A449" s="98" t="inlineStr">
        <is>
          <t>in_pl_y1_nonrev</t>
        </is>
      </c>
      <c r="B449" t="inlineStr">
        <is>
          <t>P&amp;L</t>
        </is>
      </c>
      <c r="C449" t="inlineStr">
        <is>
          <t>$W$11</t>
        </is>
      </c>
      <c r="D449" t="inlineStr">
        <is>
          <t>input</t>
        </is>
      </c>
      <c r="E449" t="inlineStr">
        <is>
          <t>currency</t>
        </is>
      </c>
      <c r="F449">
        <f>in_pl_y1_nonrev</f>
        <v/>
      </c>
      <c r="G449" t="inlineStr">
        <is>
          <t>Year 1 input: Non-Revenue Units</t>
        </is>
      </c>
    </row>
    <row r="450">
      <c r="A450" s="98" t="inlineStr">
        <is>
          <t>in_pl_y1_oth_fees</t>
        </is>
      </c>
      <c r="B450" t="inlineStr">
        <is>
          <t>P&amp;L</t>
        </is>
      </c>
      <c r="C450" t="inlineStr">
        <is>
          <t>$W$25</t>
        </is>
      </c>
      <c r="D450" t="inlineStr">
        <is>
          <t>input</t>
        </is>
      </c>
      <c r="E450" t="inlineStr">
        <is>
          <t>currency</t>
        </is>
      </c>
      <c r="F450">
        <f>in_pl_y1_oth_fees</f>
        <v/>
      </c>
      <c r="G450" t="inlineStr">
        <is>
          <t>Year 1 input: Other Income - App/Admin/Late Fees</t>
        </is>
      </c>
    </row>
    <row r="451">
      <c r="A451" s="98" t="inlineStr">
        <is>
          <t>in_pl_y1_oth_general</t>
        </is>
      </c>
      <c r="B451" t="inlineStr">
        <is>
          <t>P&amp;L</t>
        </is>
      </c>
      <c r="C451" t="inlineStr">
        <is>
          <t>$W$22</t>
        </is>
      </c>
      <c r="D451" t="inlineStr">
        <is>
          <t>input</t>
        </is>
      </c>
      <c r="E451" t="inlineStr">
        <is>
          <t>currency</t>
        </is>
      </c>
      <c r="F451">
        <f>in_pl_y1_oth_general</f>
        <v/>
      </c>
      <c r="G451" t="inlineStr">
        <is>
          <t>Year 1 input: Other Income - General</t>
        </is>
      </c>
    </row>
    <row r="452">
      <c r="A452" s="98" t="inlineStr">
        <is>
          <t>in_pl_y1_oth_laundry</t>
        </is>
      </c>
      <c r="B452" t="inlineStr">
        <is>
          <t>P&amp;L</t>
        </is>
      </c>
      <c r="C452" t="inlineStr">
        <is>
          <t>$W$27</t>
        </is>
      </c>
      <c r="D452" t="inlineStr">
        <is>
          <t>input</t>
        </is>
      </c>
      <c r="E452" t="inlineStr">
        <is>
          <t>currency</t>
        </is>
      </c>
      <c r="F452">
        <f>in_pl_y1_oth_laundry</f>
        <v/>
      </c>
      <c r="G452" t="inlineStr">
        <is>
          <t>Year 1 input: Other Income - Laundry/Vending</t>
        </is>
      </c>
    </row>
    <row r="453">
      <c r="A453" s="98" t="inlineStr">
        <is>
          <t>in_pl_y1_oth_parking</t>
        </is>
      </c>
      <c r="B453" t="inlineStr">
        <is>
          <t>P&amp;L</t>
        </is>
      </c>
      <c r="C453" t="inlineStr">
        <is>
          <t>$W$23</t>
        </is>
      </c>
      <c r="D453" t="inlineStr">
        <is>
          <t>input</t>
        </is>
      </c>
      <c r="E453" t="inlineStr">
        <is>
          <t>currency</t>
        </is>
      </c>
      <c r="F453">
        <f>in_pl_y1_oth_parking</f>
        <v/>
      </c>
      <c r="G453" t="inlineStr">
        <is>
          <t>Year 1 input: Other Income - Parking Income</t>
        </is>
      </c>
    </row>
    <row r="454">
      <c r="A454" s="98" t="inlineStr">
        <is>
          <t>in_pl_y1_oth_pet</t>
        </is>
      </c>
      <c r="B454" t="inlineStr">
        <is>
          <t>P&amp;L</t>
        </is>
      </c>
      <c r="C454" t="inlineStr">
        <is>
          <t>$W$24</t>
        </is>
      </c>
      <c r="D454" t="inlineStr">
        <is>
          <t>input</t>
        </is>
      </c>
      <c r="E454" t="inlineStr">
        <is>
          <t>currency</t>
        </is>
      </c>
      <c r="F454">
        <f>in_pl_y1_oth_pet</f>
        <v/>
      </c>
      <c r="G454" t="inlineStr">
        <is>
          <t>Year 1 input: Other Income - Pet Rent/Fees</t>
        </is>
      </c>
    </row>
    <row r="455">
      <c r="A455" s="98" t="inlineStr">
        <is>
          <t>in_pl_y1_oth_storage</t>
        </is>
      </c>
      <c r="B455" t="inlineStr">
        <is>
          <t>P&amp;L</t>
        </is>
      </c>
      <c r="C455" t="inlineStr">
        <is>
          <t>$W$26</t>
        </is>
      </c>
      <c r="D455" t="inlineStr">
        <is>
          <t>input</t>
        </is>
      </c>
      <c r="E455" t="inlineStr">
        <is>
          <t>currency</t>
        </is>
      </c>
      <c r="F455">
        <f>in_pl_y1_oth_storage</f>
        <v/>
      </c>
      <c r="G455" t="inlineStr">
        <is>
          <t>Year 1 input: Other Income - Storage</t>
        </is>
      </c>
    </row>
    <row r="456">
      <c r="A456" s="98" t="inlineStr">
        <is>
          <t>in_pl_y1_other</t>
        </is>
      </c>
      <c r="B456" t="inlineStr">
        <is>
          <t>P&amp;L</t>
        </is>
      </c>
      <c r="C456" t="inlineStr">
        <is>
          <t>$W$21</t>
        </is>
      </c>
      <c r="D456" t="inlineStr">
        <is>
          <t>input</t>
        </is>
      </c>
      <c r="E456" t="inlineStr">
        <is>
          <t>currency</t>
        </is>
      </c>
      <c r="F456">
        <f>in_pl_y1_other</f>
        <v/>
      </c>
      <c r="G456" t="inlineStr">
        <is>
          <t>Year 1 input: Other Income</t>
        </is>
      </c>
    </row>
    <row r="457">
      <c r="A457" s="98" t="inlineStr">
        <is>
          <t>in_pl_y1_reimb</t>
        </is>
      </c>
      <c r="B457" t="inlineStr">
        <is>
          <t>P&amp;L</t>
        </is>
      </c>
      <c r="C457" t="inlineStr">
        <is>
          <t>$W$14</t>
        </is>
      </c>
      <c r="D457" t="inlineStr">
        <is>
          <t>input</t>
        </is>
      </c>
      <c r="E457" t="inlineStr">
        <is>
          <t>currency</t>
        </is>
      </c>
      <c r="F457">
        <f>in_pl_y1_reimb</f>
        <v/>
      </c>
      <c r="G457" t="inlineStr">
        <is>
          <t>Year 1 input: Reimbursements (RUBS)</t>
        </is>
      </c>
    </row>
    <row r="458">
      <c r="A458" s="98" t="inlineStr">
        <is>
          <t>in_pl_y1_reimb_electric</t>
        </is>
      </c>
      <c r="B458" t="inlineStr">
        <is>
          <t>P&amp;L</t>
        </is>
      </c>
      <c r="C458" t="inlineStr">
        <is>
          <t>$W$16</t>
        </is>
      </c>
      <c r="D458" t="inlineStr">
        <is>
          <t>input</t>
        </is>
      </c>
      <c r="E458" t="inlineStr">
        <is>
          <t>currency</t>
        </is>
      </c>
      <c r="F458">
        <f>in_pl_y1_reimb_electric</f>
        <v/>
      </c>
      <c r="G458" t="inlineStr">
        <is>
          <t>Year 1 input: Reimbursements (RUBS) - Electric</t>
        </is>
      </c>
    </row>
    <row r="459">
      <c r="A459" s="98" t="inlineStr">
        <is>
          <t>in_pl_y1_reimb_gas</t>
        </is>
      </c>
      <c r="B459" t="inlineStr">
        <is>
          <t>P&amp;L</t>
        </is>
      </c>
      <c r="C459" t="inlineStr">
        <is>
          <t>$W$18</t>
        </is>
      </c>
      <c r="D459" t="inlineStr">
        <is>
          <t>input</t>
        </is>
      </c>
      <c r="E459" t="inlineStr">
        <is>
          <t>currency</t>
        </is>
      </c>
      <c r="F459">
        <f>in_pl_y1_reimb_gas</f>
        <v/>
      </c>
      <c r="G459" t="inlineStr">
        <is>
          <t>Year 1 input: Reimbursements (RUBS) - Gas</t>
        </is>
      </c>
    </row>
    <row r="460">
      <c r="A460" s="98" t="inlineStr">
        <is>
          <t>in_pl_y1_reimb_general</t>
        </is>
      </c>
      <c r="B460" t="inlineStr">
        <is>
          <t>P&amp;L</t>
        </is>
      </c>
      <c r="C460" t="inlineStr">
        <is>
          <t>$W$15</t>
        </is>
      </c>
      <c r="D460" t="inlineStr">
        <is>
          <t>input</t>
        </is>
      </c>
      <c r="E460" t="inlineStr">
        <is>
          <t>currency</t>
        </is>
      </c>
      <c r="F460">
        <f>in_pl_y1_reimb_general</f>
        <v/>
      </c>
      <c r="G460" t="inlineStr">
        <is>
          <t>Year 1 input: Reimbursements (RUBS) - General</t>
        </is>
      </c>
    </row>
    <row r="461">
      <c r="A461" s="98" t="inlineStr">
        <is>
          <t>in_pl_y1_reimb_trash</t>
        </is>
      </c>
      <c r="B461" t="inlineStr">
        <is>
          <t>P&amp;L</t>
        </is>
      </c>
      <c r="C461" t="inlineStr">
        <is>
          <t>$W$19</t>
        </is>
      </c>
      <c r="D461" t="inlineStr">
        <is>
          <t>input</t>
        </is>
      </c>
      <c r="E461" t="inlineStr">
        <is>
          <t>currency</t>
        </is>
      </c>
      <c r="F461">
        <f>in_pl_y1_reimb_trash</f>
        <v/>
      </c>
      <c r="G461" t="inlineStr">
        <is>
          <t>Year 1 input: Reimbursements (RUBS) - Trash</t>
        </is>
      </c>
    </row>
    <row r="462">
      <c r="A462" s="98" t="inlineStr">
        <is>
          <t>in_pl_y1_reimb_water</t>
        </is>
      </c>
      <c r="B462" t="inlineStr">
        <is>
          <t>P&amp;L</t>
        </is>
      </c>
      <c r="C462" t="inlineStr">
        <is>
          <t>$W$17</t>
        </is>
      </c>
      <c r="D462" t="inlineStr">
        <is>
          <t>input</t>
        </is>
      </c>
      <c r="E462" t="inlineStr">
        <is>
          <t>currency</t>
        </is>
      </c>
      <c r="F462">
        <f>in_pl_y1_reimb_water</f>
        <v/>
      </c>
      <c r="G462" t="inlineStr">
        <is>
          <t>Year 1 input: Reimbursements (RUBS) - Water/Sewer</t>
        </is>
      </c>
    </row>
    <row r="463">
      <c r="A463" s="98" t="inlineStr">
        <is>
          <t>in_pl_y1_rm</t>
        </is>
      </c>
      <c r="B463" t="inlineStr">
        <is>
          <t>P&amp;L</t>
        </is>
      </c>
      <c r="C463" t="inlineStr">
        <is>
          <t>$W$34</t>
        </is>
      </c>
      <c r="D463" t="inlineStr">
        <is>
          <t>input</t>
        </is>
      </c>
      <c r="E463" t="inlineStr">
        <is>
          <t>currency</t>
        </is>
      </c>
      <c r="F463">
        <f>in_pl_y1_rm</f>
        <v/>
      </c>
      <c r="G463" t="inlineStr">
        <is>
          <t>Year 1 input: Repairs and Maintenance</t>
        </is>
      </c>
    </row>
    <row r="464">
      <c r="A464" s="98" t="inlineStr">
        <is>
          <t>in_pl_y1_rm_contract</t>
        </is>
      </c>
      <c r="B464" t="inlineStr">
        <is>
          <t>P&amp;L</t>
        </is>
      </c>
      <c r="C464" t="inlineStr">
        <is>
          <t>$W$36</t>
        </is>
      </c>
      <c r="D464" t="inlineStr">
        <is>
          <t>input</t>
        </is>
      </c>
      <c r="E464" t="inlineStr">
        <is>
          <t>currency</t>
        </is>
      </c>
      <c r="F464">
        <f>in_pl_y1_rm_contract</f>
        <v/>
      </c>
      <c r="G464" t="inlineStr">
        <is>
          <t>Year 1 input: Repairs and Maintenance - Contract Services</t>
        </is>
      </c>
    </row>
    <row r="465">
      <c r="A465" s="98" t="inlineStr">
        <is>
          <t>in_pl_y1_rm_general</t>
        </is>
      </c>
      <c r="B465" t="inlineStr">
        <is>
          <t>P&amp;L</t>
        </is>
      </c>
      <c r="C465" t="inlineStr">
        <is>
          <t>$W$35</t>
        </is>
      </c>
      <c r="D465" t="inlineStr">
        <is>
          <t>input</t>
        </is>
      </c>
      <c r="E465" t="inlineStr">
        <is>
          <t>currency</t>
        </is>
      </c>
      <c r="F465">
        <f>in_pl_y1_rm_general</f>
        <v/>
      </c>
      <c r="G465" t="inlineStr">
        <is>
          <t>Year 1 input: Repairs and Maintenance - General</t>
        </is>
      </c>
    </row>
    <row r="466">
      <c r="A466" s="98" t="inlineStr">
        <is>
          <t>in_pl_y1_rm_turnover</t>
        </is>
      </c>
      <c r="B466" t="inlineStr">
        <is>
          <t>P&amp;L</t>
        </is>
      </c>
      <c r="C466" t="inlineStr">
        <is>
          <t>$W$37</t>
        </is>
      </c>
      <c r="D466" t="inlineStr">
        <is>
          <t>input</t>
        </is>
      </c>
      <c r="E466" t="inlineStr">
        <is>
          <t>currency</t>
        </is>
      </c>
      <c r="F466">
        <f>in_pl_y1_rm_turnover</f>
        <v/>
      </c>
      <c r="G466" t="inlineStr">
        <is>
          <t>Year 1 input: Repairs and Maintenance - Turnover</t>
        </is>
      </c>
    </row>
    <row r="467">
      <c r="A467" s="98" t="inlineStr">
        <is>
          <t>in_pl_y1_salaries</t>
        </is>
      </c>
      <c r="B467" t="inlineStr">
        <is>
          <t>P&amp;L</t>
        </is>
      </c>
      <c r="C467" t="inlineStr">
        <is>
          <t>$W$33</t>
        </is>
      </c>
      <c r="D467" t="inlineStr">
        <is>
          <t>input</t>
        </is>
      </c>
      <c r="E467" t="inlineStr">
        <is>
          <t>currency</t>
        </is>
      </c>
      <c r="F467">
        <f>in_pl_y1_salaries</f>
        <v/>
      </c>
      <c r="G467" t="inlineStr">
        <is>
          <t>Year 1 input: Salaries</t>
        </is>
      </c>
    </row>
    <row r="468">
      <c r="A468" s="98" t="inlineStr">
        <is>
          <t>in_pl_y1_taxes</t>
        </is>
      </c>
      <c r="B468" t="inlineStr">
        <is>
          <t>P&amp;L</t>
        </is>
      </c>
      <c r="C468" t="inlineStr">
        <is>
          <t>$W$31</t>
        </is>
      </c>
      <c r="D468" t="inlineStr">
        <is>
          <t>input</t>
        </is>
      </c>
      <c r="E468" t="inlineStr">
        <is>
          <t>currency</t>
        </is>
      </c>
      <c r="F468">
        <f>in_pl_y1_taxes</f>
        <v/>
      </c>
      <c r="G468" t="inlineStr">
        <is>
          <t>Year 1 input: Real Estate Taxes</t>
        </is>
      </c>
    </row>
    <row r="469">
      <c r="A469" s="98" t="inlineStr">
        <is>
          <t>in_pl_y1_unmapped</t>
        </is>
      </c>
      <c r="B469" t="inlineStr">
        <is>
          <t>P&amp;L</t>
        </is>
      </c>
      <c r="C469" t="inlineStr">
        <is>
          <t>$W$47</t>
        </is>
      </c>
      <c r="D469" t="inlineStr">
        <is>
          <t>input</t>
        </is>
      </c>
      <c r="E469" t="inlineStr">
        <is>
          <t>currency</t>
        </is>
      </c>
      <c r="F469">
        <f>in_pl_y1_unmapped</f>
        <v/>
      </c>
      <c r="G469" t="inlineStr">
        <is>
          <t>Year 1 input: Other / Unmapped</t>
        </is>
      </c>
    </row>
    <row r="470">
      <c r="A470" s="98" t="inlineStr">
        <is>
          <t>in_pl_y1_util_electric</t>
        </is>
      </c>
      <c r="B470" t="inlineStr">
        <is>
          <t>P&amp;L</t>
        </is>
      </c>
      <c r="C470" t="inlineStr">
        <is>
          <t>$W$40</t>
        </is>
      </c>
      <c r="D470" t="inlineStr">
        <is>
          <t>input</t>
        </is>
      </c>
      <c r="E470" t="inlineStr">
        <is>
          <t>currency</t>
        </is>
      </c>
      <c r="F470">
        <f>in_pl_y1_util_electric</f>
        <v/>
      </c>
      <c r="G470" t="inlineStr">
        <is>
          <t>Year 1 input: Utilities - Electric</t>
        </is>
      </c>
    </row>
    <row r="471">
      <c r="A471" s="98" t="inlineStr">
        <is>
          <t>in_pl_y1_util_gas</t>
        </is>
      </c>
      <c r="B471" t="inlineStr">
        <is>
          <t>P&amp;L</t>
        </is>
      </c>
      <c r="C471" t="inlineStr">
        <is>
          <t>$W$42</t>
        </is>
      </c>
      <c r="D471" t="inlineStr">
        <is>
          <t>input</t>
        </is>
      </c>
      <c r="E471" t="inlineStr">
        <is>
          <t>currency</t>
        </is>
      </c>
      <c r="F471">
        <f>in_pl_y1_util_gas</f>
        <v/>
      </c>
      <c r="G471" t="inlineStr">
        <is>
          <t>Year 1 input: Utilities - Gas</t>
        </is>
      </c>
    </row>
    <row r="472">
      <c r="A472" s="98" t="inlineStr">
        <is>
          <t>in_pl_y1_util_general</t>
        </is>
      </c>
      <c r="B472" t="inlineStr">
        <is>
          <t>P&amp;L</t>
        </is>
      </c>
      <c r="C472" t="inlineStr">
        <is>
          <t>$W$39</t>
        </is>
      </c>
      <c r="D472" t="inlineStr">
        <is>
          <t>input</t>
        </is>
      </c>
      <c r="E472" t="inlineStr">
        <is>
          <t>currency</t>
        </is>
      </c>
      <c r="F472">
        <f>in_pl_y1_util_general</f>
        <v/>
      </c>
      <c r="G472" t="inlineStr">
        <is>
          <t>Year 1 input: Utilities - General</t>
        </is>
      </c>
    </row>
    <row r="473">
      <c r="A473" s="98" t="inlineStr">
        <is>
          <t>in_pl_y1_util_trash</t>
        </is>
      </c>
      <c r="B473" t="inlineStr">
        <is>
          <t>P&amp;L</t>
        </is>
      </c>
      <c r="C473" t="inlineStr">
        <is>
          <t>$W$43</t>
        </is>
      </c>
      <c r="D473" t="inlineStr">
        <is>
          <t>input</t>
        </is>
      </c>
      <c r="E473" t="inlineStr">
        <is>
          <t>currency</t>
        </is>
      </c>
      <c r="F473">
        <f>in_pl_y1_util_trash</f>
        <v/>
      </c>
      <c r="G473" t="inlineStr">
        <is>
          <t>Year 1 input: Utilities - Trash</t>
        </is>
      </c>
    </row>
    <row r="474">
      <c r="A474" s="98" t="inlineStr">
        <is>
          <t>in_pl_y1_util_water</t>
        </is>
      </c>
      <c r="B474" t="inlineStr">
        <is>
          <t>P&amp;L</t>
        </is>
      </c>
      <c r="C474" t="inlineStr">
        <is>
          <t>$W$41</t>
        </is>
      </c>
      <c r="D474" t="inlineStr">
        <is>
          <t>input</t>
        </is>
      </c>
      <c r="E474" t="inlineStr">
        <is>
          <t>currency</t>
        </is>
      </c>
      <c r="F474">
        <f>in_pl_y1_util_water</f>
        <v/>
      </c>
      <c r="G474" t="inlineStr">
        <is>
          <t>Year 1 input: Utilities - Water/Sewer</t>
        </is>
      </c>
    </row>
    <row r="475">
      <c r="A475" s="98" t="inlineStr">
        <is>
          <t>in_pl_y1_utilities</t>
        </is>
      </c>
      <c r="B475" t="inlineStr">
        <is>
          <t>P&amp;L</t>
        </is>
      </c>
      <c r="C475" t="inlineStr">
        <is>
          <t>$W$38</t>
        </is>
      </c>
      <c r="D475" t="inlineStr">
        <is>
          <t>input</t>
        </is>
      </c>
      <c r="E475" t="inlineStr">
        <is>
          <t>currency</t>
        </is>
      </c>
      <c r="F475">
        <f>in_pl_y1_utilities</f>
        <v/>
      </c>
      <c r="G475" t="inlineStr">
        <is>
          <t>Year 1 input: Utilities</t>
        </is>
      </c>
    </row>
    <row r="476">
      <c r="A476" s="98" t="inlineStr">
        <is>
          <t>in_pl_y1_vacancy</t>
        </is>
      </c>
      <c r="B476" t="inlineStr">
        <is>
          <t>P&amp;L</t>
        </is>
      </c>
      <c r="C476" t="inlineStr">
        <is>
          <t>$W$10</t>
        </is>
      </c>
      <c r="D476" t="inlineStr">
        <is>
          <t>input</t>
        </is>
      </c>
      <c r="E476" t="inlineStr">
        <is>
          <t>currency</t>
        </is>
      </c>
      <c r="F476">
        <f>in_pl_y1_vacancy</f>
        <v/>
      </c>
      <c r="G476" t="inlineStr">
        <is>
          <t>Year 1 input: Vacancy</t>
        </is>
      </c>
    </row>
    <row r="477">
      <c r="A477" s="98" t="inlineStr">
        <is>
          <t>in_pref_judgment</t>
        </is>
      </c>
      <c r="B477" t="inlineStr">
        <is>
          <t>Preferences</t>
        </is>
      </c>
      <c r="C477" t="inlineStr">
        <is>
          <t>$B$47:$B$58</t>
        </is>
      </c>
      <c r="D477" t="inlineStr">
        <is>
          <t>array_in</t>
        </is>
      </c>
      <c r="E477" t="inlineStr">
        <is>
          <t>text</t>
        </is>
      </c>
      <c r="G477" t="inlineStr">
        <is>
          <t>deal-specific AI judgments</t>
        </is>
      </c>
    </row>
    <row r="478">
      <c r="A478" s="98" t="inlineStr">
        <is>
          <t>in_pref_judgment_src</t>
        </is>
      </c>
      <c r="B478" t="inlineStr">
        <is>
          <t>Preferences</t>
        </is>
      </c>
      <c r="C478" t="inlineStr">
        <is>
          <t>$C$47:$C$58</t>
        </is>
      </c>
      <c r="D478" t="inlineStr">
        <is>
          <t>array_in</t>
        </is>
      </c>
      <c r="E478" t="inlineStr">
        <is>
          <t>text</t>
        </is>
      </c>
      <c r="G478" t="inlineStr">
        <is>
          <t>judgment sources/rationale</t>
        </is>
      </c>
    </row>
    <row r="479">
      <c r="A479" s="98" t="inlineStr">
        <is>
          <t>in_pw_cost</t>
        </is>
      </c>
      <c r="B479" t="inlineStr">
        <is>
          <t>Renovation</t>
        </is>
      </c>
      <c r="C479" t="inlineStr">
        <is>
          <t>$C$20:$C$27</t>
        </is>
      </c>
      <c r="D479" t="inlineStr">
        <is>
          <t>array_in</t>
        </is>
      </c>
      <c r="E479" t="inlineStr">
        <is>
          <t>currency</t>
        </is>
      </c>
      <c r="G479" t="inlineStr">
        <is>
          <t>property-wide capex cost</t>
        </is>
      </c>
    </row>
    <row r="480">
      <c r="A480" s="98" t="inlineStr">
        <is>
          <t>in_pw_end</t>
        </is>
      </c>
      <c r="B480" t="inlineStr">
        <is>
          <t>Renovation</t>
        </is>
      </c>
      <c r="C480" t="inlineStr">
        <is>
          <t>$E$20:$E$27</t>
        </is>
      </c>
      <c r="D480" t="inlineStr">
        <is>
          <t>array_in</t>
        </is>
      </c>
      <c r="E480" t="inlineStr">
        <is>
          <t>int</t>
        </is>
      </c>
      <c r="G480" t="inlineStr"/>
    </row>
    <row r="481">
      <c r="A481" s="98" t="inlineStr">
        <is>
          <t>in_pw_premium_mo</t>
        </is>
      </c>
      <c r="B481" t="inlineStr">
        <is>
          <t>Renovation</t>
        </is>
      </c>
      <c r="C481" t="inlineStr">
        <is>
          <t>$H$20:$H$27</t>
        </is>
      </c>
      <c r="D481" t="inlineStr">
        <is>
          <t>array_in</t>
        </is>
      </c>
      <c r="E481" t="inlineStr">
        <is>
          <t>currency</t>
        </is>
      </c>
      <c r="G481" t="inlineStr">
        <is>
          <t>property-wide rent premium $/unit/mo once the project completes</t>
        </is>
      </c>
    </row>
    <row r="482">
      <c r="A482" s="98" t="inlineStr">
        <is>
          <t>in_pw_start</t>
        </is>
      </c>
      <c r="B482" t="inlineStr">
        <is>
          <t>Renovation</t>
        </is>
      </c>
      <c r="C482" t="inlineStr">
        <is>
          <t>$D$20:$D$27</t>
        </is>
      </c>
      <c r="D482" t="inlineStr">
        <is>
          <t>array_in</t>
        </is>
      </c>
      <c r="E482" t="inlineStr">
        <is>
          <t>int</t>
        </is>
      </c>
      <c r="G482" t="inlineStr"/>
    </row>
    <row r="483">
      <c r="A483" s="98" t="inlineStr">
        <is>
          <t>in_rcomp_address</t>
        </is>
      </c>
      <c r="B483" t="inlineStr">
        <is>
          <t>Rent Comps</t>
        </is>
      </c>
      <c r="C483" t="inlineStr">
        <is>
          <t>$D$7:$K$7</t>
        </is>
      </c>
      <c r="D483" t="inlineStr">
        <is>
          <t>array_in</t>
        </is>
      </c>
      <c r="E483" t="inlineStr">
        <is>
          <t>text</t>
        </is>
      </c>
      <c r="G483" t="inlineStr">
        <is>
          <t>Rent Comps: Address</t>
        </is>
      </c>
    </row>
    <row r="484">
      <c r="A484" s="98" t="inlineStr">
        <is>
          <t>in_rcomp_avg_rent</t>
        </is>
      </c>
      <c r="B484" t="inlineStr">
        <is>
          <t>Rent Comps</t>
        </is>
      </c>
      <c r="C484" t="inlineStr">
        <is>
          <t>$D$12:$K$12</t>
        </is>
      </c>
      <c r="D484" t="inlineStr">
        <is>
          <t>array_in</t>
        </is>
      </c>
      <c r="E484" t="inlineStr">
        <is>
          <t>text</t>
        </is>
      </c>
      <c r="G484" t="inlineStr">
        <is>
          <t>Rent Comps: Avg Rent /mo</t>
        </is>
      </c>
    </row>
    <row r="485">
      <c r="A485" s="98" t="inlineStr">
        <is>
          <t>in_rcomp_avg_sf</t>
        </is>
      </c>
      <c r="B485" t="inlineStr">
        <is>
          <t>Rent Comps</t>
        </is>
      </c>
      <c r="C485" t="inlineStr">
        <is>
          <t>$D$11:$K$11</t>
        </is>
      </c>
      <c r="D485" t="inlineStr">
        <is>
          <t>array_in</t>
        </is>
      </c>
      <c r="E485" t="inlineStr">
        <is>
          <t>text</t>
        </is>
      </c>
      <c r="G485" t="inlineStr">
        <is>
          <t>Rent Comps: Avg Unit SF</t>
        </is>
      </c>
    </row>
    <row r="486">
      <c r="A486" s="98" t="inlineStr">
        <is>
          <t>in_rcomp_concessions</t>
        </is>
      </c>
      <c r="B486" t="inlineStr">
        <is>
          <t>Rent Comps</t>
        </is>
      </c>
      <c r="C486" t="inlineStr">
        <is>
          <t>$D$15:$K$15</t>
        </is>
      </c>
      <c r="D486" t="inlineStr">
        <is>
          <t>array_in</t>
        </is>
      </c>
      <c r="E486" t="inlineStr">
        <is>
          <t>text</t>
        </is>
      </c>
      <c r="G486" t="inlineStr">
        <is>
          <t>Rent Comps: Concessions Offered</t>
        </is>
      </c>
    </row>
    <row r="487">
      <c r="A487" s="98" t="inlineStr">
        <is>
          <t>in_rcomp_distance</t>
        </is>
      </c>
      <c r="B487" t="inlineStr">
        <is>
          <t>Rent Comps</t>
        </is>
      </c>
      <c r="C487" t="inlineStr">
        <is>
          <t>$D$8:$K$8</t>
        </is>
      </c>
      <c r="D487" t="inlineStr">
        <is>
          <t>array_in</t>
        </is>
      </c>
      <c r="E487" t="inlineStr">
        <is>
          <t>text</t>
        </is>
      </c>
      <c r="G487" t="inlineStr">
        <is>
          <t>Rent Comps: Distance (mi)</t>
        </is>
      </c>
    </row>
    <row r="488">
      <c r="A488" s="98" t="inlineStr">
        <is>
          <t>in_rcomp_name</t>
        </is>
      </c>
      <c r="B488" t="inlineStr">
        <is>
          <t>Rent Comps</t>
        </is>
      </c>
      <c r="C488" t="inlineStr">
        <is>
          <t>$D$6:$K$6</t>
        </is>
      </c>
      <c r="D488" t="inlineStr">
        <is>
          <t>array_in</t>
        </is>
      </c>
      <c r="E488" t="inlineStr">
        <is>
          <t>text</t>
        </is>
      </c>
      <c r="G488" t="inlineStr">
        <is>
          <t>Rent Comps: Name</t>
        </is>
      </c>
    </row>
    <row r="489">
      <c r="A489" s="98" t="inlineStr">
        <is>
          <t>in_rcomp_notes</t>
        </is>
      </c>
      <c r="B489" t="inlineStr">
        <is>
          <t>Rent Comps</t>
        </is>
      </c>
      <c r="C489" t="inlineStr">
        <is>
          <t>$D$16:$K$16</t>
        </is>
      </c>
      <c r="D489" t="inlineStr">
        <is>
          <t>array_in</t>
        </is>
      </c>
      <c r="E489" t="inlineStr">
        <is>
          <t>text</t>
        </is>
      </c>
      <c r="G489" t="inlineStr">
        <is>
          <t>Rent Comps: Notes</t>
        </is>
      </c>
    </row>
    <row r="490">
      <c r="A490" s="98" t="inlineStr">
        <is>
          <t>in_rcomp_occupancy</t>
        </is>
      </c>
      <c r="B490" t="inlineStr">
        <is>
          <t>Rent Comps</t>
        </is>
      </c>
      <c r="C490" t="inlineStr">
        <is>
          <t>$D$14:$K$14</t>
        </is>
      </c>
      <c r="D490" t="inlineStr">
        <is>
          <t>array_in</t>
        </is>
      </c>
      <c r="E490" t="inlineStr">
        <is>
          <t>text</t>
        </is>
      </c>
      <c r="G490" t="inlineStr">
        <is>
          <t>Rent Comps: Occupancy</t>
        </is>
      </c>
    </row>
    <row r="491">
      <c r="A491" s="98" t="inlineStr">
        <is>
          <t>in_rcomp_rent_psf</t>
        </is>
      </c>
      <c r="B491" t="inlineStr">
        <is>
          <t>Rent Comps</t>
        </is>
      </c>
      <c r="C491" t="inlineStr">
        <is>
          <t>$D$13:$K$13</t>
        </is>
      </c>
      <c r="D491" t="inlineStr">
        <is>
          <t>array_in</t>
        </is>
      </c>
      <c r="E491" t="inlineStr">
        <is>
          <t>text</t>
        </is>
      </c>
      <c r="G491" t="inlineStr">
        <is>
          <t>Rent Comps: Rent $/SF</t>
        </is>
      </c>
    </row>
    <row r="492">
      <c r="A492" s="98" t="inlineStr">
        <is>
          <t>in_rcomp_units</t>
        </is>
      </c>
      <c r="B492" t="inlineStr">
        <is>
          <t>Rent Comps</t>
        </is>
      </c>
      <c r="C492" t="inlineStr">
        <is>
          <t>$D$10:$K$10</t>
        </is>
      </c>
      <c r="D492" t="inlineStr">
        <is>
          <t>array_in</t>
        </is>
      </c>
      <c r="E492" t="inlineStr">
        <is>
          <t>text</t>
        </is>
      </c>
      <c r="G492" t="inlineStr">
        <is>
          <t>Rent Comps: Units</t>
        </is>
      </c>
    </row>
    <row r="493">
      <c r="A493" s="98" t="inlineStr">
        <is>
          <t>in_rcomp_year_built</t>
        </is>
      </c>
      <c r="B493" t="inlineStr">
        <is>
          <t>Rent Comps</t>
        </is>
      </c>
      <c r="C493" t="inlineStr">
        <is>
          <t>$D$9:$K$9</t>
        </is>
      </c>
      <c r="D493" t="inlineStr">
        <is>
          <t>array_in</t>
        </is>
      </c>
      <c r="E493" t="inlineStr">
        <is>
          <t>text</t>
        </is>
      </c>
      <c r="G493" t="inlineStr">
        <is>
          <t>Rent Comps: Year Built</t>
        </is>
      </c>
    </row>
    <row r="494">
      <c r="A494" s="98" t="inlineStr">
        <is>
          <t>in_reno_cost_per_unit</t>
        </is>
      </c>
      <c r="B494" t="inlineStr">
        <is>
          <t>Renovation</t>
        </is>
      </c>
      <c r="C494" t="inlineStr">
        <is>
          <t>$E$6:$E$15</t>
        </is>
      </c>
      <c r="D494" t="inlineStr">
        <is>
          <t>array_in</t>
        </is>
      </c>
      <c r="E494" t="inlineStr">
        <is>
          <t>currency</t>
        </is>
      </c>
      <c r="G494" t="inlineStr">
        <is>
          <t>reno scopes: Cost / Unit</t>
        </is>
      </c>
    </row>
    <row r="495">
      <c r="A495" s="98" t="inlineStr">
        <is>
          <t>in_reno_debt_amount</t>
        </is>
      </c>
      <c r="B495" t="inlineStr">
        <is>
          <t>Renovation</t>
        </is>
      </c>
      <c r="C495" t="inlineStr">
        <is>
          <t>$D$32</t>
        </is>
      </c>
      <c r="D495" t="inlineStr">
        <is>
          <t>input</t>
        </is>
      </c>
      <c r="E495" t="inlineStr">
        <is>
          <t>currency</t>
        </is>
      </c>
      <c r="F495">
        <f>in_reno_debt_amount</f>
        <v/>
      </c>
      <c r="G495" t="inlineStr">
        <is>
          <t>LOC facility: draws as reno spends, IO, payoff at refi/exit</t>
        </is>
      </c>
    </row>
    <row r="496">
      <c r="A496" s="98" t="inlineStr">
        <is>
          <t>in_reno_debt_rate</t>
        </is>
      </c>
      <c r="B496" t="inlineStr">
        <is>
          <t>Renovation</t>
        </is>
      </c>
      <c r="C496" t="inlineStr">
        <is>
          <t>$D$33</t>
        </is>
      </c>
      <c r="D496" t="inlineStr">
        <is>
          <t>input</t>
        </is>
      </c>
      <c r="E496" t="inlineStr">
        <is>
          <t>pct</t>
        </is>
      </c>
      <c r="F496">
        <f>in_reno_debt_rate</f>
        <v/>
      </c>
      <c r="G496" t="inlineStr">
        <is>
          <t>Reno LOC Interest Rate</t>
        </is>
      </c>
    </row>
    <row r="497">
      <c r="A497" s="98" t="inlineStr">
        <is>
          <t>in_reno_downtime_days</t>
        </is>
      </c>
      <c r="B497" t="inlineStr">
        <is>
          <t>Renovation</t>
        </is>
      </c>
      <c r="C497" t="inlineStr">
        <is>
          <t>$J$6:$J$15</t>
        </is>
      </c>
      <c r="D497" t="inlineStr">
        <is>
          <t>array_in</t>
        </is>
      </c>
      <c r="E497" t="inlineStr">
        <is>
          <t>int</t>
        </is>
      </c>
      <c r="G497" t="inlineStr">
        <is>
          <t>reno scopes: Downtime (days)</t>
        </is>
      </c>
    </row>
    <row r="498">
      <c r="A498" s="98" t="inlineStr">
        <is>
          <t>in_reno_end_year</t>
        </is>
      </c>
      <c r="B498" t="inlineStr">
        <is>
          <t>Renovation</t>
        </is>
      </c>
      <c r="C498" t="inlineStr">
        <is>
          <t>$H$6:$H$15</t>
        </is>
      </c>
      <c r="D498" t="inlineStr">
        <is>
          <t>array_in</t>
        </is>
      </c>
      <c r="E498" t="inlineStr">
        <is>
          <t>int</t>
        </is>
      </c>
      <c r="G498" t="inlineStr">
        <is>
          <t>reno scopes: End Year</t>
        </is>
      </c>
    </row>
    <row r="499">
      <c r="A499" s="98" t="inlineStr">
        <is>
          <t>in_reno_notes</t>
        </is>
      </c>
      <c r="B499" t="inlineStr">
        <is>
          <t>Renovation</t>
        </is>
      </c>
      <c r="C499" t="inlineStr">
        <is>
          <t>$Q$6:$Q$15</t>
        </is>
      </c>
      <c r="D499" t="inlineStr">
        <is>
          <t>array_in</t>
        </is>
      </c>
      <c r="E499" t="inlineStr">
        <is>
          <t>text</t>
        </is>
      </c>
      <c r="G499" t="inlineStr">
        <is>
          <t>reno scopes: Notes</t>
        </is>
      </c>
    </row>
    <row r="500">
      <c r="A500" s="98" t="inlineStr">
        <is>
          <t>in_reno_premium_mo</t>
        </is>
      </c>
      <c r="B500" t="inlineStr">
        <is>
          <t>Renovation</t>
        </is>
      </c>
      <c r="C500" t="inlineStr">
        <is>
          <t>$L$6:$L$15</t>
        </is>
      </c>
      <c r="D500" t="inlineStr">
        <is>
          <t>array_in</t>
        </is>
      </c>
      <c r="E500" t="inlineStr">
        <is>
          <t>currency</t>
        </is>
      </c>
      <c r="G500" t="inlineStr">
        <is>
          <t>reno scopes: Premium $/mo (over classic)</t>
        </is>
      </c>
    </row>
    <row r="501">
      <c r="A501" s="98" t="inlineStr">
        <is>
          <t>in_reno_scope</t>
        </is>
      </c>
      <c r="B501" t="inlineStr">
        <is>
          <t>Renovation</t>
        </is>
      </c>
      <c r="C501" t="inlineStr">
        <is>
          <t>$B$6:$B$15</t>
        </is>
      </c>
      <c r="D501" t="inlineStr">
        <is>
          <t>array_in</t>
        </is>
      </c>
      <c r="E501" t="inlineStr">
        <is>
          <t>text</t>
        </is>
      </c>
      <c r="G501" t="inlineStr">
        <is>
          <t>reno scopes: Scope / Floor Plan</t>
        </is>
      </c>
    </row>
    <row r="502">
      <c r="A502" s="98" t="inlineStr">
        <is>
          <t>in_reno_start_year</t>
        </is>
      </c>
      <c r="B502" t="inlineStr">
        <is>
          <t>Renovation</t>
        </is>
      </c>
      <c r="C502" t="inlineStr">
        <is>
          <t>$G$6:$G$15</t>
        </is>
      </c>
      <c r="D502" t="inlineStr">
        <is>
          <t>array_in</t>
        </is>
      </c>
      <c r="E502" t="inlineStr">
        <is>
          <t>int</t>
        </is>
      </c>
      <c r="G502" t="inlineStr">
        <is>
          <t>reno scopes: Start Year</t>
        </is>
      </c>
    </row>
    <row r="503">
      <c r="A503" s="98" t="inlineStr">
        <is>
          <t>in_reno_units</t>
        </is>
      </c>
      <c r="B503" t="inlineStr">
        <is>
          <t>Renovation</t>
        </is>
      </c>
      <c r="C503" t="inlineStr">
        <is>
          <t>$D$6:$D$15</t>
        </is>
      </c>
      <c r="D503" t="inlineStr">
        <is>
          <t>array_in</t>
        </is>
      </c>
      <c r="E503" t="inlineStr">
        <is>
          <t>int</t>
        </is>
      </c>
      <c r="G503" t="inlineStr">
        <is>
          <t>reno scopes: Reno Units</t>
        </is>
      </c>
    </row>
    <row r="504">
      <c r="A504" s="98" t="inlineStr">
        <is>
          <t>in_res_ds_months</t>
        </is>
      </c>
      <c r="B504" t="inlineStr">
        <is>
          <t>Investor Waterfall</t>
        </is>
      </c>
      <c r="C504" t="inlineStr">
        <is>
          <t>$H$15</t>
        </is>
      </c>
      <c r="D504" t="inlineStr">
        <is>
          <t>input</t>
        </is>
      </c>
      <c r="E504" t="inlineStr">
        <is>
          <t>float</t>
        </is>
      </c>
      <c r="F504">
        <f>in_res_ds_months</f>
        <v/>
      </c>
      <c r="G504" t="inlineStr">
        <is>
          <t>Debt Service Reserve (months)</t>
        </is>
      </c>
    </row>
    <row r="505">
      <c r="A505" s="98" t="inlineStr">
        <is>
          <t>in_res_release_at_exit</t>
        </is>
      </c>
      <c r="B505" t="inlineStr">
        <is>
          <t>Investor Waterfall</t>
        </is>
      </c>
      <c r="C505" t="inlineStr">
        <is>
          <t>$H$16</t>
        </is>
      </c>
      <c r="D505" t="inlineStr">
        <is>
          <t>input</t>
        </is>
      </c>
      <c r="E505" t="inlineStr">
        <is>
          <t>bool</t>
        </is>
      </c>
      <c r="F505">
        <f>in_res_release_at_exit</f>
        <v/>
      </c>
      <c r="G505" t="inlineStr">
        <is>
          <t>Release Unused Reserves at Exit?</t>
        </is>
      </c>
    </row>
    <row r="506">
      <c r="A506" s="98" t="inlineStr">
        <is>
          <t>in_res_replacement_per_unit</t>
        </is>
      </c>
      <c r="B506" t="inlineStr">
        <is>
          <t>Investor Waterfall</t>
        </is>
      </c>
      <c r="C506" t="inlineStr">
        <is>
          <t>$H$13</t>
        </is>
      </c>
      <c r="D506" t="inlineStr">
        <is>
          <t>input</t>
        </is>
      </c>
      <c r="E506" t="inlineStr">
        <is>
          <t>currency</t>
        </is>
      </c>
      <c r="F506">
        <f>in_res_replacement_per_unit</f>
        <v/>
      </c>
      <c r="G506" t="inlineStr">
        <is>
          <t>Replacement Reserve ($/unit/yr)</t>
        </is>
      </c>
    </row>
    <row r="507">
      <c r="A507" s="98" t="inlineStr">
        <is>
          <t>in_res_working_capital</t>
        </is>
      </c>
      <c r="B507" t="inlineStr">
        <is>
          <t>Investor Waterfall</t>
        </is>
      </c>
      <c r="C507" t="inlineStr">
        <is>
          <t>$H$14</t>
        </is>
      </c>
      <c r="D507" t="inlineStr">
        <is>
          <t>input</t>
        </is>
      </c>
      <c r="E507" t="inlineStr">
        <is>
          <t>currency</t>
        </is>
      </c>
      <c r="F507">
        <f>in_res_working_capital</f>
        <v/>
      </c>
      <c r="G507" t="inlineStr">
        <is>
          <t>Working Capital ($)</t>
        </is>
      </c>
    </row>
    <row r="508">
      <c r="A508" s="98" t="inlineStr">
        <is>
          <t>in_rr_baths</t>
        </is>
      </c>
      <c r="B508" t="inlineStr">
        <is>
          <t>Rent Roll</t>
        </is>
      </c>
      <c r="C508" t="inlineStr">
        <is>
          <t>$E$6:$E$405</t>
        </is>
      </c>
      <c r="D508" t="inlineStr">
        <is>
          <t>array_in</t>
        </is>
      </c>
      <c r="E508" t="inlineStr">
        <is>
          <t>text</t>
        </is>
      </c>
      <c r="G508" t="inlineStr">
        <is>
          <t>rent roll: Baths</t>
        </is>
      </c>
    </row>
    <row r="509">
      <c r="A509" s="98" t="inlineStr">
        <is>
          <t>in_rr_beds</t>
        </is>
      </c>
      <c r="B509" t="inlineStr">
        <is>
          <t>Rent Roll</t>
        </is>
      </c>
      <c r="C509" t="inlineStr">
        <is>
          <t>$D$6:$D$405</t>
        </is>
      </c>
      <c r="D509" t="inlineStr">
        <is>
          <t>array_in</t>
        </is>
      </c>
      <c r="E509" t="inlineStr">
        <is>
          <t>text</t>
        </is>
      </c>
      <c r="G509" t="inlineStr">
        <is>
          <t>rent roll: Beds</t>
        </is>
      </c>
    </row>
    <row r="510">
      <c r="A510" s="98" t="inlineStr">
        <is>
          <t>in_rr_floorplan</t>
        </is>
      </c>
      <c r="B510" t="inlineStr">
        <is>
          <t>Rent Roll</t>
        </is>
      </c>
      <c r="C510" t="inlineStr">
        <is>
          <t>$C$6:$C$405</t>
        </is>
      </c>
      <c r="D510" t="inlineStr">
        <is>
          <t>array_in</t>
        </is>
      </c>
      <c r="E510" t="inlineStr">
        <is>
          <t>text</t>
        </is>
      </c>
      <c r="G510" t="inlineStr">
        <is>
          <t>rent roll: Floor Plan</t>
        </is>
      </c>
    </row>
    <row r="511">
      <c r="A511" s="98" t="inlineStr">
        <is>
          <t>in_rr_inplace_rent</t>
        </is>
      </c>
      <c r="B511" t="inlineStr">
        <is>
          <t>Rent Roll</t>
        </is>
      </c>
      <c r="C511" t="inlineStr">
        <is>
          <t>$H$6:$H$405</t>
        </is>
      </c>
      <c r="D511" t="inlineStr">
        <is>
          <t>array_in</t>
        </is>
      </c>
      <c r="E511" t="inlineStr">
        <is>
          <t>text</t>
        </is>
      </c>
      <c r="G511" t="inlineStr">
        <is>
          <t>rent roll: In-Place Rent /mo</t>
        </is>
      </c>
    </row>
    <row r="512">
      <c r="A512" s="98" t="inlineStr">
        <is>
          <t>in_rr_lease_end</t>
        </is>
      </c>
      <c r="B512" t="inlineStr">
        <is>
          <t>Rent Roll</t>
        </is>
      </c>
      <c r="C512" t="inlineStr">
        <is>
          <t>$M$6:$M$405</t>
        </is>
      </c>
      <c r="D512" t="inlineStr">
        <is>
          <t>array_in</t>
        </is>
      </c>
      <c r="E512" t="inlineStr">
        <is>
          <t>text</t>
        </is>
      </c>
      <c r="G512" t="inlineStr">
        <is>
          <t>rent roll: Lease End (Date)</t>
        </is>
      </c>
    </row>
    <row r="513">
      <c r="A513" s="98" t="inlineStr">
        <is>
          <t>in_rr_lease_start</t>
        </is>
      </c>
      <c r="B513" t="inlineStr">
        <is>
          <t>Rent Roll</t>
        </is>
      </c>
      <c r="C513" t="inlineStr">
        <is>
          <t>$K$6:$K$405</t>
        </is>
      </c>
      <c r="D513" t="inlineStr">
        <is>
          <t>array_in</t>
        </is>
      </c>
      <c r="E513" t="inlineStr">
        <is>
          <t>text</t>
        </is>
      </c>
      <c r="G513" t="inlineStr">
        <is>
          <t>rent roll: Lease Start</t>
        </is>
      </c>
    </row>
    <row r="514">
      <c r="A514" s="98" t="inlineStr">
        <is>
          <t>in_rr_market_rent</t>
        </is>
      </c>
      <c r="B514" t="inlineStr">
        <is>
          <t>Rent Roll</t>
        </is>
      </c>
      <c r="C514" t="inlineStr">
        <is>
          <t>$J$6:$J$405</t>
        </is>
      </c>
      <c r="D514" t="inlineStr">
        <is>
          <t>array_in</t>
        </is>
      </c>
      <c r="E514" t="inlineStr">
        <is>
          <t>text</t>
        </is>
      </c>
      <c r="G514" t="inlineStr">
        <is>
          <t>rent roll: Market Rent /mo</t>
        </is>
      </c>
    </row>
    <row r="515">
      <c r="A515" s="98" t="inlineStr">
        <is>
          <t>in_rr_mtm</t>
        </is>
      </c>
      <c r="B515" t="inlineStr">
        <is>
          <t>Rent Roll</t>
        </is>
      </c>
      <c r="C515" t="inlineStr">
        <is>
          <t>$L$6:$L$405</t>
        </is>
      </c>
      <c r="D515" t="inlineStr">
        <is>
          <t>array_in</t>
        </is>
      </c>
      <c r="E515" t="inlineStr">
        <is>
          <t>text</t>
        </is>
      </c>
      <c r="G515" t="inlineStr">
        <is>
          <t>rent roll: MTM</t>
        </is>
      </c>
    </row>
    <row r="516">
      <c r="A516" s="98" t="inlineStr">
        <is>
          <t>in_rr_renovated</t>
        </is>
      </c>
      <c r="B516" t="inlineStr">
        <is>
          <t>Rent Roll</t>
        </is>
      </c>
      <c r="C516" t="inlineStr">
        <is>
          <t>$O$6:$O$405</t>
        </is>
      </c>
      <c r="D516" t="inlineStr">
        <is>
          <t>array_in</t>
        </is>
      </c>
      <c r="E516" t="inlineStr">
        <is>
          <t>text</t>
        </is>
      </c>
      <c r="G516" t="inlineStr">
        <is>
          <t>rent roll: Renovated</t>
        </is>
      </c>
    </row>
    <row r="517">
      <c r="A517" s="98" t="inlineStr">
        <is>
          <t>in_rr_sf</t>
        </is>
      </c>
      <c r="B517" t="inlineStr">
        <is>
          <t>Rent Roll</t>
        </is>
      </c>
      <c r="C517" t="inlineStr">
        <is>
          <t>$F$6:$F$405</t>
        </is>
      </c>
      <c r="D517" t="inlineStr">
        <is>
          <t>array_in</t>
        </is>
      </c>
      <c r="E517" t="inlineStr">
        <is>
          <t>text</t>
        </is>
      </c>
      <c r="G517" t="inlineStr">
        <is>
          <t>rent roll: SF</t>
        </is>
      </c>
    </row>
    <row r="518">
      <c r="A518" s="98" t="inlineStr">
        <is>
          <t>in_rr_status</t>
        </is>
      </c>
      <c r="B518" t="inlineStr">
        <is>
          <t>Rent Roll</t>
        </is>
      </c>
      <c r="C518" t="inlineStr">
        <is>
          <t>$G$6:$G$405</t>
        </is>
      </c>
      <c r="D518" t="inlineStr">
        <is>
          <t>array_in</t>
        </is>
      </c>
      <c r="E518" t="inlineStr">
        <is>
          <t>text</t>
        </is>
      </c>
      <c r="G518" t="inlineStr">
        <is>
          <t>rent roll: Status</t>
        </is>
      </c>
    </row>
    <row r="519">
      <c r="A519" s="98" t="inlineStr">
        <is>
          <t>in_rr_unit_num</t>
        </is>
      </c>
      <c r="B519" t="inlineStr">
        <is>
          <t>Rent Roll</t>
        </is>
      </c>
      <c r="C519" t="inlineStr">
        <is>
          <t>$B$6:$B$405</t>
        </is>
      </c>
      <c r="D519" t="inlineStr">
        <is>
          <t>array_in</t>
        </is>
      </c>
      <c r="E519" t="inlineStr">
        <is>
          <t>text</t>
        </is>
      </c>
      <c r="G519" t="inlineStr">
        <is>
          <t>rent roll: Unit #</t>
        </is>
      </c>
    </row>
    <row r="520">
      <c r="A520" s="98" t="inlineStr">
        <is>
          <t>in_scomp_address</t>
        </is>
      </c>
      <c r="B520" t="inlineStr">
        <is>
          <t>Sale Comps</t>
        </is>
      </c>
      <c r="C520" t="inlineStr">
        <is>
          <t>$D$7:$K$7</t>
        </is>
      </c>
      <c r="D520" t="inlineStr">
        <is>
          <t>array_in</t>
        </is>
      </c>
      <c r="E520" t="inlineStr">
        <is>
          <t>text</t>
        </is>
      </c>
      <c r="G520" t="inlineStr">
        <is>
          <t>Sale Comps: Address</t>
        </is>
      </c>
    </row>
    <row r="521">
      <c r="A521" s="98" t="inlineStr">
        <is>
          <t>in_scomp_buyer</t>
        </is>
      </c>
      <c r="B521" t="inlineStr">
        <is>
          <t>Sale Comps</t>
        </is>
      </c>
      <c r="C521" t="inlineStr">
        <is>
          <t>$D$15:$K$15</t>
        </is>
      </c>
      <c r="D521" t="inlineStr">
        <is>
          <t>array_in</t>
        </is>
      </c>
      <c r="E521" t="inlineStr">
        <is>
          <t>text</t>
        </is>
      </c>
      <c r="G521" t="inlineStr">
        <is>
          <t>Sale Comps: Buyer</t>
        </is>
      </c>
    </row>
    <row r="522">
      <c r="A522" s="98" t="inlineStr">
        <is>
          <t>in_scomp_cap_rate</t>
        </is>
      </c>
      <c r="B522" t="inlineStr">
        <is>
          <t>Sale Comps</t>
        </is>
      </c>
      <c r="C522" t="inlineStr">
        <is>
          <t>$D$14:$K$14</t>
        </is>
      </c>
      <c r="D522" t="inlineStr">
        <is>
          <t>array_in</t>
        </is>
      </c>
      <c r="E522" t="inlineStr">
        <is>
          <t>text</t>
        </is>
      </c>
      <c r="G522" t="inlineStr">
        <is>
          <t>Sale Comps: Cap Rate</t>
        </is>
      </c>
    </row>
    <row r="523">
      <c r="A523" s="98" t="inlineStr">
        <is>
          <t>in_scomp_name</t>
        </is>
      </c>
      <c r="B523" t="inlineStr">
        <is>
          <t>Sale Comps</t>
        </is>
      </c>
      <c r="C523" t="inlineStr">
        <is>
          <t>$D$6:$K$6</t>
        </is>
      </c>
      <c r="D523" t="inlineStr">
        <is>
          <t>array_in</t>
        </is>
      </c>
      <c r="E523" t="inlineStr">
        <is>
          <t>text</t>
        </is>
      </c>
      <c r="G523" t="inlineStr">
        <is>
          <t>Sale Comps: Name</t>
        </is>
      </c>
    </row>
    <row r="524">
      <c r="A524" s="98" t="inlineStr">
        <is>
          <t>in_scomp_notes</t>
        </is>
      </c>
      <c r="B524" t="inlineStr">
        <is>
          <t>Sale Comps</t>
        </is>
      </c>
      <c r="C524" t="inlineStr">
        <is>
          <t>$D$16:$K$16</t>
        </is>
      </c>
      <c r="D524" t="inlineStr">
        <is>
          <t>array_in</t>
        </is>
      </c>
      <c r="E524" t="inlineStr">
        <is>
          <t>text</t>
        </is>
      </c>
      <c r="G524" t="inlineStr">
        <is>
          <t>Sale Comps: Notes</t>
        </is>
      </c>
    </row>
    <row r="525">
      <c r="A525" s="98" t="inlineStr">
        <is>
          <t>in_scomp_price_per_unit</t>
        </is>
      </c>
      <c r="B525" t="inlineStr">
        <is>
          <t>Sale Comps</t>
        </is>
      </c>
      <c r="C525" t="inlineStr">
        <is>
          <t>$D$12:$K$12</t>
        </is>
      </c>
      <c r="D525" t="inlineStr">
        <is>
          <t>array_in</t>
        </is>
      </c>
      <c r="E525" t="inlineStr">
        <is>
          <t>text</t>
        </is>
      </c>
      <c r="G525" t="inlineStr">
        <is>
          <t>Sale Comps: Price / Unit</t>
        </is>
      </c>
    </row>
    <row r="526">
      <c r="A526" s="98" t="inlineStr">
        <is>
          <t>in_scomp_price_psf</t>
        </is>
      </c>
      <c r="B526" t="inlineStr">
        <is>
          <t>Sale Comps</t>
        </is>
      </c>
      <c r="C526" t="inlineStr">
        <is>
          <t>$D$13:$K$13</t>
        </is>
      </c>
      <c r="D526" t="inlineStr">
        <is>
          <t>array_in</t>
        </is>
      </c>
      <c r="E526" t="inlineStr">
        <is>
          <t>text</t>
        </is>
      </c>
      <c r="G526" t="inlineStr">
        <is>
          <t>Sale Comps: Price / SF</t>
        </is>
      </c>
    </row>
    <row r="527">
      <c r="A527" s="98" t="inlineStr">
        <is>
          <t>in_scomp_sale_date</t>
        </is>
      </c>
      <c r="B527" t="inlineStr">
        <is>
          <t>Sale Comps</t>
        </is>
      </c>
      <c r="C527" t="inlineStr">
        <is>
          <t>$D$8:$K$8</t>
        </is>
      </c>
      <c r="D527" t="inlineStr">
        <is>
          <t>array_in</t>
        </is>
      </c>
      <c r="E527" t="inlineStr">
        <is>
          <t>text</t>
        </is>
      </c>
      <c r="G527" t="inlineStr">
        <is>
          <t>Sale Comps: Sale Date</t>
        </is>
      </c>
    </row>
    <row r="528">
      <c r="A528" s="98" t="inlineStr">
        <is>
          <t>in_scomp_sale_price</t>
        </is>
      </c>
      <c r="B528" t="inlineStr">
        <is>
          <t>Sale Comps</t>
        </is>
      </c>
      <c r="C528" t="inlineStr">
        <is>
          <t>$D$11:$K$11</t>
        </is>
      </c>
      <c r="D528" t="inlineStr">
        <is>
          <t>array_in</t>
        </is>
      </c>
      <c r="E528" t="inlineStr">
        <is>
          <t>text</t>
        </is>
      </c>
      <c r="G528" t="inlineStr">
        <is>
          <t>Sale Comps: Sale Price</t>
        </is>
      </c>
    </row>
    <row r="529">
      <c r="A529" s="98" t="inlineStr">
        <is>
          <t>in_scomp_units</t>
        </is>
      </c>
      <c r="B529" t="inlineStr">
        <is>
          <t>Sale Comps</t>
        </is>
      </c>
      <c r="C529" t="inlineStr">
        <is>
          <t>$D$10:$K$10</t>
        </is>
      </c>
      <c r="D529" t="inlineStr">
        <is>
          <t>array_in</t>
        </is>
      </c>
      <c r="E529" t="inlineStr">
        <is>
          <t>text</t>
        </is>
      </c>
      <c r="G529" t="inlineStr">
        <is>
          <t>Sale Comps: Units</t>
        </is>
      </c>
    </row>
    <row r="530">
      <c r="A530" s="98" t="inlineStr">
        <is>
          <t>in_scomp_year_built</t>
        </is>
      </c>
      <c r="B530" t="inlineStr">
        <is>
          <t>Sale Comps</t>
        </is>
      </c>
      <c r="C530" t="inlineStr">
        <is>
          <t>$D$9:$K$9</t>
        </is>
      </c>
      <c r="D530" t="inlineStr">
        <is>
          <t>array_in</t>
        </is>
      </c>
      <c r="E530" t="inlineStr">
        <is>
          <t>text</t>
        </is>
      </c>
      <c r="G530" t="inlineStr">
        <is>
          <t>Sale Comps: Year Built</t>
        </is>
      </c>
    </row>
    <row r="531">
      <c r="A531" s="98" t="inlineStr">
        <is>
          <t>in_stabilization_months</t>
        </is>
      </c>
      <c r="B531" t="inlineStr">
        <is>
          <t>Summary &amp; Assumptions</t>
        </is>
      </c>
      <c r="C531" t="inlineStr">
        <is>
          <t>$C$27</t>
        </is>
      </c>
      <c r="D531" t="inlineStr">
        <is>
          <t>input</t>
        </is>
      </c>
      <c r="E531" t="inlineStr">
        <is>
          <t>int</t>
        </is>
      </c>
      <c r="F531">
        <f>in_stabilization_months</f>
        <v/>
      </c>
      <c r="G531" t="inlineStr">
        <is>
          <t>months for actual vacancy to lease up to the stabilized vacancy assumption (0 = stabilized from month 1)</t>
        </is>
      </c>
    </row>
    <row r="532">
      <c r="A532" s="98" t="inlineStr">
        <is>
          <t>in_t12_adj_admin</t>
        </is>
      </c>
      <c r="B532" t="inlineStr">
        <is>
          <t>P&amp;L</t>
        </is>
      </c>
      <c r="C532" t="inlineStr">
        <is>
          <t>$T$45</t>
        </is>
      </c>
      <c r="D532" t="inlineStr">
        <is>
          <t>input</t>
        </is>
      </c>
      <c r="E532" t="inlineStr">
        <is>
          <t>currency</t>
        </is>
      </c>
      <c r="F532">
        <f>in_t12_adj_admin</f>
        <v/>
      </c>
      <c r="G532" t="inlineStr">
        <is>
          <t>T12 adjustment: Administrative</t>
        </is>
      </c>
    </row>
    <row r="533">
      <c r="A533" s="98" t="inlineStr">
        <is>
          <t>in_t12_adj_bad_debt</t>
        </is>
      </c>
      <c r="B533" t="inlineStr">
        <is>
          <t>P&amp;L</t>
        </is>
      </c>
      <c r="C533" t="inlineStr">
        <is>
          <t>$T$13</t>
        </is>
      </c>
      <c r="D533" t="inlineStr">
        <is>
          <t>input</t>
        </is>
      </c>
      <c r="E533" t="inlineStr">
        <is>
          <t>currency</t>
        </is>
      </c>
      <c r="F533">
        <f>in_t12_adj_bad_debt</f>
        <v/>
      </c>
      <c r="G533" t="inlineStr">
        <is>
          <t>T12 adjustment: Bad Debt/Collection Loss</t>
        </is>
      </c>
    </row>
    <row r="534">
      <c r="A534" s="98" t="inlineStr">
        <is>
          <t>in_t12_adj_commercial</t>
        </is>
      </c>
      <c r="B534" t="inlineStr">
        <is>
          <t>P&amp;L</t>
        </is>
      </c>
      <c r="C534" t="inlineStr">
        <is>
          <t>$T$20</t>
        </is>
      </c>
      <c r="D534" t="inlineStr">
        <is>
          <t>input</t>
        </is>
      </c>
      <c r="E534" t="inlineStr">
        <is>
          <t>currency</t>
        </is>
      </c>
      <c r="F534">
        <f>in_t12_adj_commercial</f>
        <v/>
      </c>
      <c r="G534" t="inlineStr">
        <is>
          <t>T12 adjustment: Commercial Rent</t>
        </is>
      </c>
    </row>
    <row r="535">
      <c r="A535" s="98" t="inlineStr">
        <is>
          <t>in_t12_adj_concessions</t>
        </is>
      </c>
      <c r="B535" t="inlineStr">
        <is>
          <t>P&amp;L</t>
        </is>
      </c>
      <c r="C535" t="inlineStr">
        <is>
          <t>$T$12</t>
        </is>
      </c>
      <c r="D535" t="inlineStr">
        <is>
          <t>input</t>
        </is>
      </c>
      <c r="E535" t="inlineStr">
        <is>
          <t>currency</t>
        </is>
      </c>
      <c r="F535">
        <f>in_t12_adj_concessions</f>
        <v/>
      </c>
      <c r="G535" t="inlineStr">
        <is>
          <t>T12 adjustment: Concessions</t>
        </is>
      </c>
    </row>
    <row r="536">
      <c r="A536" s="98" t="inlineStr">
        <is>
          <t>in_t12_adj_gpr</t>
        </is>
      </c>
      <c r="B536" t="inlineStr">
        <is>
          <t>P&amp;L</t>
        </is>
      </c>
      <c r="C536" t="inlineStr">
        <is>
          <t>$T$8</t>
        </is>
      </c>
      <c r="D536" t="inlineStr">
        <is>
          <t>input</t>
        </is>
      </c>
      <c r="E536" t="inlineStr">
        <is>
          <t>currency</t>
        </is>
      </c>
      <c r="F536">
        <f>in_t12_adj_gpr</f>
        <v/>
      </c>
      <c r="G536" t="inlineStr">
        <is>
          <t>T12 adjustment: Residential Income (GPR)</t>
        </is>
      </c>
    </row>
    <row r="537">
      <c r="A537" s="98" t="inlineStr">
        <is>
          <t>in_t12_adj_insurance</t>
        </is>
      </c>
      <c r="B537" t="inlineStr">
        <is>
          <t>P&amp;L</t>
        </is>
      </c>
      <c r="C537" t="inlineStr">
        <is>
          <t>$T$32</t>
        </is>
      </c>
      <c r="D537" t="inlineStr">
        <is>
          <t>input</t>
        </is>
      </c>
      <c r="E537" t="inlineStr">
        <is>
          <t>currency</t>
        </is>
      </c>
      <c r="F537">
        <f>in_t12_adj_insurance</f>
        <v/>
      </c>
      <c r="G537" t="inlineStr">
        <is>
          <t>T12 adjustment: Insurance</t>
        </is>
      </c>
    </row>
    <row r="538">
      <c r="A538" s="98" t="inlineStr">
        <is>
          <t>in_t12_adj_ltl</t>
        </is>
      </c>
      <c r="B538" t="inlineStr">
        <is>
          <t>P&amp;L</t>
        </is>
      </c>
      <c r="C538" t="inlineStr">
        <is>
          <t>$T$9</t>
        </is>
      </c>
      <c r="D538" t="inlineStr">
        <is>
          <t>input</t>
        </is>
      </c>
      <c r="E538" t="inlineStr">
        <is>
          <t>currency</t>
        </is>
      </c>
      <c r="F538">
        <f>in_t12_adj_ltl</f>
        <v/>
      </c>
      <c r="G538" t="inlineStr">
        <is>
          <t>T12 adjustment: Loss to Lease</t>
        </is>
      </c>
    </row>
    <row r="539">
      <c r="A539" s="98" t="inlineStr">
        <is>
          <t>in_t12_adj_marketing</t>
        </is>
      </c>
      <c r="B539" t="inlineStr">
        <is>
          <t>P&amp;L</t>
        </is>
      </c>
      <c r="C539" t="inlineStr">
        <is>
          <t>$T$44</t>
        </is>
      </c>
      <c r="D539" t="inlineStr">
        <is>
          <t>input</t>
        </is>
      </c>
      <c r="E539" t="inlineStr">
        <is>
          <t>currency</t>
        </is>
      </c>
      <c r="F539">
        <f>in_t12_adj_marketing</f>
        <v/>
      </c>
      <c r="G539" t="inlineStr">
        <is>
          <t>T12 adjustment: Marketing/Advertising</t>
        </is>
      </c>
    </row>
    <row r="540">
      <c r="A540" s="98" t="inlineStr">
        <is>
          <t>in_t12_adj_mgmt</t>
        </is>
      </c>
      <c r="B540" t="inlineStr">
        <is>
          <t>P&amp;L</t>
        </is>
      </c>
      <c r="C540" t="inlineStr">
        <is>
          <t>$T$46</t>
        </is>
      </c>
      <c r="D540" t="inlineStr">
        <is>
          <t>input</t>
        </is>
      </c>
      <c r="E540" t="inlineStr">
        <is>
          <t>currency</t>
        </is>
      </c>
      <c r="F540">
        <f>in_t12_adj_mgmt</f>
        <v/>
      </c>
      <c r="G540" t="inlineStr">
        <is>
          <t>T12 adjustment: Property Management</t>
        </is>
      </c>
    </row>
    <row r="541">
      <c r="A541" s="98" t="inlineStr">
        <is>
          <t>in_t12_adj_nonrev</t>
        </is>
      </c>
      <c r="B541" t="inlineStr">
        <is>
          <t>P&amp;L</t>
        </is>
      </c>
      <c r="C541" t="inlineStr">
        <is>
          <t>$T$11</t>
        </is>
      </c>
      <c r="D541" t="inlineStr">
        <is>
          <t>input</t>
        </is>
      </c>
      <c r="E541" t="inlineStr">
        <is>
          <t>currency</t>
        </is>
      </c>
      <c r="F541">
        <f>in_t12_adj_nonrev</f>
        <v/>
      </c>
      <c r="G541" t="inlineStr">
        <is>
          <t>T12 adjustment: Non-Revenue Units</t>
        </is>
      </c>
    </row>
    <row r="542">
      <c r="A542" s="98" t="inlineStr">
        <is>
          <t>in_t12_adj_oth_fees</t>
        </is>
      </c>
      <c r="B542" t="inlineStr">
        <is>
          <t>P&amp;L</t>
        </is>
      </c>
      <c r="C542" t="inlineStr">
        <is>
          <t>$T$25</t>
        </is>
      </c>
      <c r="D542" t="inlineStr">
        <is>
          <t>input</t>
        </is>
      </c>
      <c r="E542" t="inlineStr">
        <is>
          <t>currency</t>
        </is>
      </c>
      <c r="F542">
        <f>in_t12_adj_oth_fees</f>
        <v/>
      </c>
      <c r="G542" t="inlineStr">
        <is>
          <t>T12 adjustment: Other Income - App/Admin/Late Fees</t>
        </is>
      </c>
    </row>
    <row r="543">
      <c r="A543" s="98" t="inlineStr">
        <is>
          <t>in_t12_adj_oth_general</t>
        </is>
      </c>
      <c r="B543" t="inlineStr">
        <is>
          <t>P&amp;L</t>
        </is>
      </c>
      <c r="C543" t="inlineStr">
        <is>
          <t>$T$22</t>
        </is>
      </c>
      <c r="D543" t="inlineStr">
        <is>
          <t>input</t>
        </is>
      </c>
      <c r="E543" t="inlineStr">
        <is>
          <t>currency</t>
        </is>
      </c>
      <c r="F543">
        <f>in_t12_adj_oth_general</f>
        <v/>
      </c>
      <c r="G543" t="inlineStr">
        <is>
          <t>T12 adjustment: Other Income - General</t>
        </is>
      </c>
    </row>
    <row r="544">
      <c r="A544" s="98" t="inlineStr">
        <is>
          <t>in_t12_adj_oth_laundry</t>
        </is>
      </c>
      <c r="B544" t="inlineStr">
        <is>
          <t>P&amp;L</t>
        </is>
      </c>
      <c r="C544" t="inlineStr">
        <is>
          <t>$T$27</t>
        </is>
      </c>
      <c r="D544" t="inlineStr">
        <is>
          <t>input</t>
        </is>
      </c>
      <c r="E544" t="inlineStr">
        <is>
          <t>currency</t>
        </is>
      </c>
      <c r="F544">
        <f>in_t12_adj_oth_laundry</f>
        <v/>
      </c>
      <c r="G544" t="inlineStr">
        <is>
          <t>T12 adjustment: Other Income - Laundry/Vending</t>
        </is>
      </c>
    </row>
    <row r="545">
      <c r="A545" s="98" t="inlineStr">
        <is>
          <t>in_t12_adj_oth_parking</t>
        </is>
      </c>
      <c r="B545" t="inlineStr">
        <is>
          <t>P&amp;L</t>
        </is>
      </c>
      <c r="C545" t="inlineStr">
        <is>
          <t>$T$23</t>
        </is>
      </c>
      <c r="D545" t="inlineStr">
        <is>
          <t>input</t>
        </is>
      </c>
      <c r="E545" t="inlineStr">
        <is>
          <t>currency</t>
        </is>
      </c>
      <c r="F545">
        <f>in_t12_adj_oth_parking</f>
        <v/>
      </c>
      <c r="G545" t="inlineStr">
        <is>
          <t>T12 adjustment: Other Income - Parking Income</t>
        </is>
      </c>
    </row>
    <row r="546">
      <c r="A546" s="98" t="inlineStr">
        <is>
          <t>in_t12_adj_oth_pet</t>
        </is>
      </c>
      <c r="B546" t="inlineStr">
        <is>
          <t>P&amp;L</t>
        </is>
      </c>
      <c r="C546" t="inlineStr">
        <is>
          <t>$T$24</t>
        </is>
      </c>
      <c r="D546" t="inlineStr">
        <is>
          <t>input</t>
        </is>
      </c>
      <c r="E546" t="inlineStr">
        <is>
          <t>currency</t>
        </is>
      </c>
      <c r="F546">
        <f>in_t12_adj_oth_pet</f>
        <v/>
      </c>
      <c r="G546" t="inlineStr">
        <is>
          <t>T12 adjustment: Other Income - Pet Rent/Fees</t>
        </is>
      </c>
    </row>
    <row r="547">
      <c r="A547" s="98" t="inlineStr">
        <is>
          <t>in_t12_adj_oth_storage</t>
        </is>
      </c>
      <c r="B547" t="inlineStr">
        <is>
          <t>P&amp;L</t>
        </is>
      </c>
      <c r="C547" t="inlineStr">
        <is>
          <t>$T$26</t>
        </is>
      </c>
      <c r="D547" t="inlineStr">
        <is>
          <t>input</t>
        </is>
      </c>
      <c r="E547" t="inlineStr">
        <is>
          <t>currency</t>
        </is>
      </c>
      <c r="F547">
        <f>in_t12_adj_oth_storage</f>
        <v/>
      </c>
      <c r="G547" t="inlineStr">
        <is>
          <t>T12 adjustment: Other Income - Storage</t>
        </is>
      </c>
    </row>
    <row r="548">
      <c r="A548" s="98" t="inlineStr">
        <is>
          <t>in_t12_adj_other</t>
        </is>
      </c>
      <c r="B548" t="inlineStr">
        <is>
          <t>P&amp;L</t>
        </is>
      </c>
      <c r="C548" t="inlineStr">
        <is>
          <t>$T$21</t>
        </is>
      </c>
      <c r="D548" t="inlineStr">
        <is>
          <t>input</t>
        </is>
      </c>
      <c r="E548" t="inlineStr">
        <is>
          <t>currency</t>
        </is>
      </c>
      <c r="F548">
        <f>in_t12_adj_other</f>
        <v/>
      </c>
      <c r="G548" t="inlineStr">
        <is>
          <t>T12 adjustment: Other Income</t>
        </is>
      </c>
    </row>
    <row r="549">
      <c r="A549" s="98" t="inlineStr">
        <is>
          <t>in_t12_adj_reimb</t>
        </is>
      </c>
      <c r="B549" t="inlineStr">
        <is>
          <t>P&amp;L</t>
        </is>
      </c>
      <c r="C549" t="inlineStr">
        <is>
          <t>$T$14</t>
        </is>
      </c>
      <c r="D549" t="inlineStr">
        <is>
          <t>input</t>
        </is>
      </c>
      <c r="E549" t="inlineStr">
        <is>
          <t>currency</t>
        </is>
      </c>
      <c r="F549">
        <f>in_t12_adj_reimb</f>
        <v/>
      </c>
      <c r="G549" t="inlineStr">
        <is>
          <t>T12 adjustment: Reimbursements (RUBS)</t>
        </is>
      </c>
    </row>
    <row r="550">
      <c r="A550" s="98" t="inlineStr">
        <is>
          <t>in_t12_adj_reimb_electric</t>
        </is>
      </c>
      <c r="B550" t="inlineStr">
        <is>
          <t>P&amp;L</t>
        </is>
      </c>
      <c r="C550" t="inlineStr">
        <is>
          <t>$T$16</t>
        </is>
      </c>
      <c r="D550" t="inlineStr">
        <is>
          <t>input</t>
        </is>
      </c>
      <c r="E550" t="inlineStr">
        <is>
          <t>currency</t>
        </is>
      </c>
      <c r="F550">
        <f>in_t12_adj_reimb_electric</f>
        <v/>
      </c>
      <c r="G550" t="inlineStr">
        <is>
          <t>T12 adjustment: Reimbursements (RUBS) - Electric</t>
        </is>
      </c>
    </row>
    <row r="551">
      <c r="A551" s="98" t="inlineStr">
        <is>
          <t>in_t12_adj_reimb_gas</t>
        </is>
      </c>
      <c r="B551" t="inlineStr">
        <is>
          <t>P&amp;L</t>
        </is>
      </c>
      <c r="C551" t="inlineStr">
        <is>
          <t>$T$18</t>
        </is>
      </c>
      <c r="D551" t="inlineStr">
        <is>
          <t>input</t>
        </is>
      </c>
      <c r="E551" t="inlineStr">
        <is>
          <t>currency</t>
        </is>
      </c>
      <c r="F551">
        <f>in_t12_adj_reimb_gas</f>
        <v/>
      </c>
      <c r="G551" t="inlineStr">
        <is>
          <t>T12 adjustment: Reimbursements (RUBS) - Gas</t>
        </is>
      </c>
    </row>
    <row r="552">
      <c r="A552" s="98" t="inlineStr">
        <is>
          <t>in_t12_adj_reimb_general</t>
        </is>
      </c>
      <c r="B552" t="inlineStr">
        <is>
          <t>P&amp;L</t>
        </is>
      </c>
      <c r="C552" t="inlineStr">
        <is>
          <t>$T$15</t>
        </is>
      </c>
      <c r="D552" t="inlineStr">
        <is>
          <t>input</t>
        </is>
      </c>
      <c r="E552" t="inlineStr">
        <is>
          <t>currency</t>
        </is>
      </c>
      <c r="F552">
        <f>in_t12_adj_reimb_general</f>
        <v/>
      </c>
      <c r="G552" t="inlineStr">
        <is>
          <t>T12 adjustment: Reimbursements (RUBS) - General</t>
        </is>
      </c>
    </row>
    <row r="553">
      <c r="A553" s="98" t="inlineStr">
        <is>
          <t>in_t12_adj_reimb_trash</t>
        </is>
      </c>
      <c r="B553" t="inlineStr">
        <is>
          <t>P&amp;L</t>
        </is>
      </c>
      <c r="C553" t="inlineStr">
        <is>
          <t>$T$19</t>
        </is>
      </c>
      <c r="D553" t="inlineStr">
        <is>
          <t>input</t>
        </is>
      </c>
      <c r="E553" t="inlineStr">
        <is>
          <t>currency</t>
        </is>
      </c>
      <c r="F553">
        <f>in_t12_adj_reimb_trash</f>
        <v/>
      </c>
      <c r="G553" t="inlineStr">
        <is>
          <t>T12 adjustment: Reimbursements (RUBS) - Trash</t>
        </is>
      </c>
    </row>
    <row r="554">
      <c r="A554" s="98" t="inlineStr">
        <is>
          <t>in_t12_adj_reimb_water</t>
        </is>
      </c>
      <c r="B554" t="inlineStr">
        <is>
          <t>P&amp;L</t>
        </is>
      </c>
      <c r="C554" t="inlineStr">
        <is>
          <t>$T$17</t>
        </is>
      </c>
      <c r="D554" t="inlineStr">
        <is>
          <t>input</t>
        </is>
      </c>
      <c r="E554" t="inlineStr">
        <is>
          <t>currency</t>
        </is>
      </c>
      <c r="F554">
        <f>in_t12_adj_reimb_water</f>
        <v/>
      </c>
      <c r="G554" t="inlineStr">
        <is>
          <t>T12 adjustment: Reimbursements (RUBS) - Water/Sewer</t>
        </is>
      </c>
    </row>
    <row r="555">
      <c r="A555" s="98" t="inlineStr">
        <is>
          <t>in_t12_adj_rm</t>
        </is>
      </c>
      <c r="B555" t="inlineStr">
        <is>
          <t>P&amp;L</t>
        </is>
      </c>
      <c r="C555" t="inlineStr">
        <is>
          <t>$T$34</t>
        </is>
      </c>
      <c r="D555" t="inlineStr">
        <is>
          <t>input</t>
        </is>
      </c>
      <c r="E555" t="inlineStr">
        <is>
          <t>currency</t>
        </is>
      </c>
      <c r="F555">
        <f>in_t12_adj_rm</f>
        <v/>
      </c>
      <c r="G555" t="inlineStr">
        <is>
          <t>T12 adjustment: Repairs and Maintenance</t>
        </is>
      </c>
    </row>
    <row r="556">
      <c r="A556" s="98" t="inlineStr">
        <is>
          <t>in_t12_adj_rm_contract</t>
        </is>
      </c>
      <c r="B556" t="inlineStr">
        <is>
          <t>P&amp;L</t>
        </is>
      </c>
      <c r="C556" t="inlineStr">
        <is>
          <t>$T$36</t>
        </is>
      </c>
      <c r="D556" t="inlineStr">
        <is>
          <t>input</t>
        </is>
      </c>
      <c r="E556" t="inlineStr">
        <is>
          <t>currency</t>
        </is>
      </c>
      <c r="F556">
        <f>in_t12_adj_rm_contract</f>
        <v/>
      </c>
      <c r="G556" t="inlineStr">
        <is>
          <t>T12 adjustment: Repairs and Maintenance - Contract Services</t>
        </is>
      </c>
    </row>
    <row r="557">
      <c r="A557" s="98" t="inlineStr">
        <is>
          <t>in_t12_adj_rm_general</t>
        </is>
      </c>
      <c r="B557" t="inlineStr">
        <is>
          <t>P&amp;L</t>
        </is>
      </c>
      <c r="C557" t="inlineStr">
        <is>
          <t>$T$35</t>
        </is>
      </c>
      <c r="D557" t="inlineStr">
        <is>
          <t>input</t>
        </is>
      </c>
      <c r="E557" t="inlineStr">
        <is>
          <t>currency</t>
        </is>
      </c>
      <c r="F557">
        <f>in_t12_adj_rm_general</f>
        <v/>
      </c>
      <c r="G557" t="inlineStr">
        <is>
          <t>T12 adjustment: Repairs and Maintenance - General</t>
        </is>
      </c>
    </row>
    <row r="558">
      <c r="A558" s="98" t="inlineStr">
        <is>
          <t>in_t12_adj_rm_turnover</t>
        </is>
      </c>
      <c r="B558" t="inlineStr">
        <is>
          <t>P&amp;L</t>
        </is>
      </c>
      <c r="C558" t="inlineStr">
        <is>
          <t>$T$37</t>
        </is>
      </c>
      <c r="D558" t="inlineStr">
        <is>
          <t>input</t>
        </is>
      </c>
      <c r="E558" t="inlineStr">
        <is>
          <t>currency</t>
        </is>
      </c>
      <c r="F558">
        <f>in_t12_adj_rm_turnover</f>
        <v/>
      </c>
      <c r="G558" t="inlineStr">
        <is>
          <t>T12 adjustment: Repairs and Maintenance - Turnover</t>
        </is>
      </c>
    </row>
    <row r="559">
      <c r="A559" s="98" t="inlineStr">
        <is>
          <t>in_t12_adj_salaries</t>
        </is>
      </c>
      <c r="B559" t="inlineStr">
        <is>
          <t>P&amp;L</t>
        </is>
      </c>
      <c r="C559" t="inlineStr">
        <is>
          <t>$T$33</t>
        </is>
      </c>
      <c r="D559" t="inlineStr">
        <is>
          <t>input</t>
        </is>
      </c>
      <c r="E559" t="inlineStr">
        <is>
          <t>currency</t>
        </is>
      </c>
      <c r="F559">
        <f>in_t12_adj_salaries</f>
        <v/>
      </c>
      <c r="G559" t="inlineStr">
        <is>
          <t>T12 adjustment: Salaries</t>
        </is>
      </c>
    </row>
    <row r="560">
      <c r="A560" s="98" t="inlineStr">
        <is>
          <t>in_t12_adj_taxes</t>
        </is>
      </c>
      <c r="B560" t="inlineStr">
        <is>
          <t>P&amp;L</t>
        </is>
      </c>
      <c r="C560" t="inlineStr">
        <is>
          <t>$T$31</t>
        </is>
      </c>
      <c r="D560" t="inlineStr">
        <is>
          <t>input</t>
        </is>
      </c>
      <c r="E560" t="inlineStr">
        <is>
          <t>currency</t>
        </is>
      </c>
      <c r="F560">
        <f>in_t12_adj_taxes</f>
        <v/>
      </c>
      <c r="G560" t="inlineStr">
        <is>
          <t>T12 adjustment: Real Estate Taxes</t>
        </is>
      </c>
    </row>
    <row r="561">
      <c r="A561" s="98" t="inlineStr">
        <is>
          <t>in_t12_adj_unmapped</t>
        </is>
      </c>
      <c r="B561" t="inlineStr">
        <is>
          <t>P&amp;L</t>
        </is>
      </c>
      <c r="C561" t="inlineStr">
        <is>
          <t>$T$47</t>
        </is>
      </c>
      <c r="D561" t="inlineStr">
        <is>
          <t>input</t>
        </is>
      </c>
      <c r="E561" t="inlineStr">
        <is>
          <t>currency</t>
        </is>
      </c>
      <c r="F561">
        <f>in_t12_adj_unmapped</f>
        <v/>
      </c>
      <c r="G561" t="inlineStr">
        <is>
          <t>T12 adjustment: Other / Unmapped</t>
        </is>
      </c>
    </row>
    <row r="562">
      <c r="A562" s="98" t="inlineStr">
        <is>
          <t>in_t12_adj_util_electric</t>
        </is>
      </c>
      <c r="B562" t="inlineStr">
        <is>
          <t>P&amp;L</t>
        </is>
      </c>
      <c r="C562" t="inlineStr">
        <is>
          <t>$T$40</t>
        </is>
      </c>
      <c r="D562" t="inlineStr">
        <is>
          <t>input</t>
        </is>
      </c>
      <c r="E562" t="inlineStr">
        <is>
          <t>currency</t>
        </is>
      </c>
      <c r="F562">
        <f>in_t12_adj_util_electric</f>
        <v/>
      </c>
      <c r="G562" t="inlineStr">
        <is>
          <t>T12 adjustment: Utilities - Electric</t>
        </is>
      </c>
    </row>
    <row r="563">
      <c r="A563" s="98" t="inlineStr">
        <is>
          <t>in_t12_adj_util_gas</t>
        </is>
      </c>
      <c r="B563" t="inlineStr">
        <is>
          <t>P&amp;L</t>
        </is>
      </c>
      <c r="C563" t="inlineStr">
        <is>
          <t>$T$42</t>
        </is>
      </c>
      <c r="D563" t="inlineStr">
        <is>
          <t>input</t>
        </is>
      </c>
      <c r="E563" t="inlineStr">
        <is>
          <t>currency</t>
        </is>
      </c>
      <c r="F563">
        <f>in_t12_adj_util_gas</f>
        <v/>
      </c>
      <c r="G563" t="inlineStr">
        <is>
          <t>T12 adjustment: Utilities - Gas</t>
        </is>
      </c>
    </row>
    <row r="564">
      <c r="A564" s="98" t="inlineStr">
        <is>
          <t>in_t12_adj_util_general</t>
        </is>
      </c>
      <c r="B564" t="inlineStr">
        <is>
          <t>P&amp;L</t>
        </is>
      </c>
      <c r="C564" t="inlineStr">
        <is>
          <t>$T$39</t>
        </is>
      </c>
      <c r="D564" t="inlineStr">
        <is>
          <t>input</t>
        </is>
      </c>
      <c r="E564" t="inlineStr">
        <is>
          <t>currency</t>
        </is>
      </c>
      <c r="F564">
        <f>in_t12_adj_util_general</f>
        <v/>
      </c>
      <c r="G564" t="inlineStr">
        <is>
          <t>T12 adjustment: Utilities - General</t>
        </is>
      </c>
    </row>
    <row r="565">
      <c r="A565" s="98" t="inlineStr">
        <is>
          <t>in_t12_adj_util_trash</t>
        </is>
      </c>
      <c r="B565" t="inlineStr">
        <is>
          <t>P&amp;L</t>
        </is>
      </c>
      <c r="C565" t="inlineStr">
        <is>
          <t>$T$43</t>
        </is>
      </c>
      <c r="D565" t="inlineStr">
        <is>
          <t>input</t>
        </is>
      </c>
      <c r="E565" t="inlineStr">
        <is>
          <t>currency</t>
        </is>
      </c>
      <c r="F565">
        <f>in_t12_adj_util_trash</f>
        <v/>
      </c>
      <c r="G565" t="inlineStr">
        <is>
          <t>T12 adjustment: Utilities - Trash</t>
        </is>
      </c>
    </row>
    <row r="566">
      <c r="A566" s="98" t="inlineStr">
        <is>
          <t>in_t12_adj_util_water</t>
        </is>
      </c>
      <c r="B566" t="inlineStr">
        <is>
          <t>P&amp;L</t>
        </is>
      </c>
      <c r="C566" t="inlineStr">
        <is>
          <t>$T$41</t>
        </is>
      </c>
      <c r="D566" t="inlineStr">
        <is>
          <t>input</t>
        </is>
      </c>
      <c r="E566" t="inlineStr">
        <is>
          <t>currency</t>
        </is>
      </c>
      <c r="F566">
        <f>in_t12_adj_util_water</f>
        <v/>
      </c>
      <c r="G566" t="inlineStr">
        <is>
          <t>T12 adjustment: Utilities - Water/Sewer</t>
        </is>
      </c>
    </row>
    <row r="567">
      <c r="A567" s="98" t="inlineStr">
        <is>
          <t>in_t12_adj_utilities</t>
        </is>
      </c>
      <c r="B567" t="inlineStr">
        <is>
          <t>P&amp;L</t>
        </is>
      </c>
      <c r="C567" t="inlineStr">
        <is>
          <t>$T$38</t>
        </is>
      </c>
      <c r="D567" t="inlineStr">
        <is>
          <t>input</t>
        </is>
      </c>
      <c r="E567" t="inlineStr">
        <is>
          <t>currency</t>
        </is>
      </c>
      <c r="F567">
        <f>in_t12_adj_utilities</f>
        <v/>
      </c>
      <c r="G567" t="inlineStr">
        <is>
          <t>T12 adjustment: Utilities</t>
        </is>
      </c>
    </row>
    <row r="568">
      <c r="A568" s="98" t="inlineStr">
        <is>
          <t>in_t12_adj_vacancy</t>
        </is>
      </c>
      <c r="B568" t="inlineStr">
        <is>
          <t>P&amp;L</t>
        </is>
      </c>
      <c r="C568" t="inlineStr">
        <is>
          <t>$T$10</t>
        </is>
      </c>
      <c r="D568" t="inlineStr">
        <is>
          <t>input</t>
        </is>
      </c>
      <c r="E568" t="inlineStr">
        <is>
          <t>currency</t>
        </is>
      </c>
      <c r="F568">
        <f>in_t12_adj_vacancy</f>
        <v/>
      </c>
      <c r="G568" t="inlineStr">
        <is>
          <t>T12 adjustment: Vacancy</t>
        </is>
      </c>
    </row>
    <row r="569">
      <c r="A569" s="98" t="inlineStr">
        <is>
          <t>in_t12_end_date</t>
        </is>
      </c>
      <c r="B569" t="inlineStr">
        <is>
          <t>P&amp;L</t>
        </is>
      </c>
      <c r="C569" t="inlineStr">
        <is>
          <t>$D$4</t>
        </is>
      </c>
      <c r="D569" t="inlineStr">
        <is>
          <t>input</t>
        </is>
      </c>
      <c r="E569" t="inlineStr">
        <is>
          <t>date</t>
        </is>
      </c>
      <c r="F569">
        <f>in_t12_end_date</f>
        <v/>
      </c>
      <c r="G569" t="inlineStr">
        <is>
          <t>end date of the trailing-12 statement (col O)</t>
        </is>
      </c>
      <c r="H569" s="95" t="inlineStr">
        <is>
          <t>'=EOMONTH(TODAY(),-1)</t>
        </is>
      </c>
    </row>
    <row r="570">
      <c r="A570" s="98" t="inlineStr">
        <is>
          <t>in_t12_is_estimate</t>
        </is>
      </c>
      <c r="B570" t="inlineStr">
        <is>
          <t>P&amp;L</t>
        </is>
      </c>
      <c r="C570" t="inlineStr">
        <is>
          <t>$AM$4</t>
        </is>
      </c>
      <c r="D570" t="inlineStr">
        <is>
          <t>input</t>
        </is>
      </c>
      <c r="E570" t="inlineStr">
        <is>
          <t>bool</t>
        </is>
      </c>
      <c r="F570">
        <f>in_t12_is_estimate</f>
        <v/>
      </c>
      <c r="G570" t="inlineStr">
        <is>
          <t>Yes when the attached statement is an app-synthesized comp estimate; the scenario default then stays on Market Estimate instead of the statement</t>
        </is>
      </c>
    </row>
    <row r="571">
      <c r="A571" s="98" t="inlineStr">
        <is>
          <t>in_t12_m_admin</t>
        </is>
      </c>
      <c r="B571" t="inlineStr">
        <is>
          <t>P&amp;L</t>
        </is>
      </c>
      <c r="C571" t="inlineStr">
        <is>
          <t>$D$45:$O$45</t>
        </is>
      </c>
      <c r="D571" t="inlineStr">
        <is>
          <t>array_in</t>
        </is>
      </c>
      <c r="E571" t="inlineStr">
        <is>
          <t>currency</t>
        </is>
      </c>
      <c r="G571" t="inlineStr">
        <is>
          <t>T12 monthly: Administrative</t>
        </is>
      </c>
    </row>
    <row r="572">
      <c r="A572" s="98" t="inlineStr">
        <is>
          <t>in_t12_m_bad_debt</t>
        </is>
      </c>
      <c r="B572" t="inlineStr">
        <is>
          <t>P&amp;L</t>
        </is>
      </c>
      <c r="C572" t="inlineStr">
        <is>
          <t>$D$13:$O$13</t>
        </is>
      </c>
      <c r="D572" t="inlineStr">
        <is>
          <t>array_in</t>
        </is>
      </c>
      <c r="E572" t="inlineStr">
        <is>
          <t>currency</t>
        </is>
      </c>
      <c r="G572" t="inlineStr">
        <is>
          <t>T12 monthly: Bad Debt/Collection Loss</t>
        </is>
      </c>
    </row>
    <row r="573">
      <c r="A573" s="98" t="inlineStr">
        <is>
          <t>in_t12_m_commercial</t>
        </is>
      </c>
      <c r="B573" t="inlineStr">
        <is>
          <t>P&amp;L</t>
        </is>
      </c>
      <c r="C573" t="inlineStr">
        <is>
          <t>$D$20:$O$20</t>
        </is>
      </c>
      <c r="D573" t="inlineStr">
        <is>
          <t>array_in</t>
        </is>
      </c>
      <c r="E573" t="inlineStr">
        <is>
          <t>currency</t>
        </is>
      </c>
      <c r="G573" t="inlineStr">
        <is>
          <t>T12 monthly: Commercial Rent</t>
        </is>
      </c>
    </row>
    <row r="574">
      <c r="A574" s="98" t="inlineStr">
        <is>
          <t>in_t12_m_concessions</t>
        </is>
      </c>
      <c r="B574" t="inlineStr">
        <is>
          <t>P&amp;L</t>
        </is>
      </c>
      <c r="C574" t="inlineStr">
        <is>
          <t>$D$12:$O$12</t>
        </is>
      </c>
      <c r="D574" t="inlineStr">
        <is>
          <t>array_in</t>
        </is>
      </c>
      <c r="E574" t="inlineStr">
        <is>
          <t>currency</t>
        </is>
      </c>
      <c r="G574" t="inlineStr">
        <is>
          <t>T12 monthly: Concessions</t>
        </is>
      </c>
    </row>
    <row r="575">
      <c r="A575" s="98" t="inlineStr">
        <is>
          <t>in_t12_m_gpr</t>
        </is>
      </c>
      <c r="B575" t="inlineStr">
        <is>
          <t>P&amp;L</t>
        </is>
      </c>
      <c r="C575" t="inlineStr">
        <is>
          <t>$D$8:$O$8</t>
        </is>
      </c>
      <c r="D575" t="inlineStr">
        <is>
          <t>array_in</t>
        </is>
      </c>
      <c r="E575" t="inlineStr">
        <is>
          <t>currency</t>
        </is>
      </c>
      <c r="G575" t="inlineStr">
        <is>
          <t>T12 monthly: Residential Income (GPR)</t>
        </is>
      </c>
    </row>
    <row r="576">
      <c r="A576" s="98" t="inlineStr">
        <is>
          <t>in_t12_m_insurance</t>
        </is>
      </c>
      <c r="B576" t="inlineStr">
        <is>
          <t>P&amp;L</t>
        </is>
      </c>
      <c r="C576" t="inlineStr">
        <is>
          <t>$D$32:$O$32</t>
        </is>
      </c>
      <c r="D576" t="inlineStr">
        <is>
          <t>array_in</t>
        </is>
      </c>
      <c r="E576" t="inlineStr">
        <is>
          <t>currency</t>
        </is>
      </c>
      <c r="G576" t="inlineStr">
        <is>
          <t>T12 monthly: Insurance</t>
        </is>
      </c>
    </row>
    <row r="577">
      <c r="A577" s="98" t="inlineStr">
        <is>
          <t>in_t12_m_ltl</t>
        </is>
      </c>
      <c r="B577" t="inlineStr">
        <is>
          <t>P&amp;L</t>
        </is>
      </c>
      <c r="C577" t="inlineStr">
        <is>
          <t>$D$9:$O$9</t>
        </is>
      </c>
      <c r="D577" t="inlineStr">
        <is>
          <t>array_in</t>
        </is>
      </c>
      <c r="E577" t="inlineStr">
        <is>
          <t>currency</t>
        </is>
      </c>
      <c r="G577" t="inlineStr">
        <is>
          <t>T12 monthly: Loss to Lease</t>
        </is>
      </c>
    </row>
    <row r="578">
      <c r="A578" s="98" t="inlineStr">
        <is>
          <t>in_t12_m_marketing</t>
        </is>
      </c>
      <c r="B578" t="inlineStr">
        <is>
          <t>P&amp;L</t>
        </is>
      </c>
      <c r="C578" t="inlineStr">
        <is>
          <t>$D$44:$O$44</t>
        </is>
      </c>
      <c r="D578" t="inlineStr">
        <is>
          <t>array_in</t>
        </is>
      </c>
      <c r="E578" t="inlineStr">
        <is>
          <t>currency</t>
        </is>
      </c>
      <c r="G578" t="inlineStr">
        <is>
          <t>T12 monthly: Marketing/Advertising</t>
        </is>
      </c>
    </row>
    <row r="579">
      <c r="A579" s="98" t="inlineStr">
        <is>
          <t>in_t12_m_mgmt</t>
        </is>
      </c>
      <c r="B579" t="inlineStr">
        <is>
          <t>P&amp;L</t>
        </is>
      </c>
      <c r="C579" t="inlineStr">
        <is>
          <t>$D$46:$O$46</t>
        </is>
      </c>
      <c r="D579" t="inlineStr">
        <is>
          <t>array_in</t>
        </is>
      </c>
      <c r="E579" t="inlineStr">
        <is>
          <t>currency</t>
        </is>
      </c>
      <c r="G579" t="inlineStr">
        <is>
          <t>T12 monthly: Property Management</t>
        </is>
      </c>
    </row>
    <row r="580">
      <c r="A580" s="98" t="inlineStr">
        <is>
          <t>in_t12_m_nonrev</t>
        </is>
      </c>
      <c r="B580" t="inlineStr">
        <is>
          <t>P&amp;L</t>
        </is>
      </c>
      <c r="C580" t="inlineStr">
        <is>
          <t>$D$11:$O$11</t>
        </is>
      </c>
      <c r="D580" t="inlineStr">
        <is>
          <t>array_in</t>
        </is>
      </c>
      <c r="E580" t="inlineStr">
        <is>
          <t>currency</t>
        </is>
      </c>
      <c r="G580" t="inlineStr">
        <is>
          <t>T12 monthly: Non-Revenue Units</t>
        </is>
      </c>
    </row>
    <row r="581">
      <c r="A581" s="98" t="inlineStr">
        <is>
          <t>in_t12_m_oth_fees</t>
        </is>
      </c>
      <c r="B581" t="inlineStr">
        <is>
          <t>P&amp;L</t>
        </is>
      </c>
      <c r="C581" t="inlineStr">
        <is>
          <t>$D$25:$O$25</t>
        </is>
      </c>
      <c r="D581" t="inlineStr">
        <is>
          <t>array_in</t>
        </is>
      </c>
      <c r="E581" t="inlineStr">
        <is>
          <t>currency</t>
        </is>
      </c>
      <c r="G581" t="inlineStr">
        <is>
          <t>T12 monthly: Other Income - App/Admin/Late Fees</t>
        </is>
      </c>
    </row>
    <row r="582">
      <c r="A582" s="98" t="inlineStr">
        <is>
          <t>in_t12_m_oth_general</t>
        </is>
      </c>
      <c r="B582" t="inlineStr">
        <is>
          <t>P&amp;L</t>
        </is>
      </c>
      <c r="C582" t="inlineStr">
        <is>
          <t>$D$22:$O$22</t>
        </is>
      </c>
      <c r="D582" t="inlineStr">
        <is>
          <t>array_in</t>
        </is>
      </c>
      <c r="E582" t="inlineStr">
        <is>
          <t>currency</t>
        </is>
      </c>
      <c r="G582" t="inlineStr">
        <is>
          <t>T12 monthly: Other Income - General</t>
        </is>
      </c>
    </row>
    <row r="583">
      <c r="A583" s="98" t="inlineStr">
        <is>
          <t>in_t12_m_oth_laundry</t>
        </is>
      </c>
      <c r="B583" t="inlineStr">
        <is>
          <t>P&amp;L</t>
        </is>
      </c>
      <c r="C583" t="inlineStr">
        <is>
          <t>$D$27:$O$27</t>
        </is>
      </c>
      <c r="D583" t="inlineStr">
        <is>
          <t>array_in</t>
        </is>
      </c>
      <c r="E583" t="inlineStr">
        <is>
          <t>currency</t>
        </is>
      </c>
      <c r="G583" t="inlineStr">
        <is>
          <t>T12 monthly: Other Income - Laundry/Vending</t>
        </is>
      </c>
    </row>
    <row r="584">
      <c r="A584" s="98" t="inlineStr">
        <is>
          <t>in_t12_m_oth_parking</t>
        </is>
      </c>
      <c r="B584" t="inlineStr">
        <is>
          <t>P&amp;L</t>
        </is>
      </c>
      <c r="C584" t="inlineStr">
        <is>
          <t>$D$23:$O$23</t>
        </is>
      </c>
      <c r="D584" t="inlineStr">
        <is>
          <t>array_in</t>
        </is>
      </c>
      <c r="E584" t="inlineStr">
        <is>
          <t>currency</t>
        </is>
      </c>
      <c r="G584" t="inlineStr">
        <is>
          <t>T12 monthly: Other Income - Parking Income</t>
        </is>
      </c>
    </row>
    <row r="585">
      <c r="A585" s="98" t="inlineStr">
        <is>
          <t>in_t12_m_oth_pet</t>
        </is>
      </c>
      <c r="B585" t="inlineStr">
        <is>
          <t>P&amp;L</t>
        </is>
      </c>
      <c r="C585" t="inlineStr">
        <is>
          <t>$D$24:$O$24</t>
        </is>
      </c>
      <c r="D585" t="inlineStr">
        <is>
          <t>array_in</t>
        </is>
      </c>
      <c r="E585" t="inlineStr">
        <is>
          <t>currency</t>
        </is>
      </c>
      <c r="G585" t="inlineStr">
        <is>
          <t>T12 monthly: Other Income - Pet Rent/Fees</t>
        </is>
      </c>
    </row>
    <row r="586">
      <c r="A586" s="98" t="inlineStr">
        <is>
          <t>in_t12_m_oth_storage</t>
        </is>
      </c>
      <c r="B586" t="inlineStr">
        <is>
          <t>P&amp;L</t>
        </is>
      </c>
      <c r="C586" t="inlineStr">
        <is>
          <t>$D$26:$O$26</t>
        </is>
      </c>
      <c r="D586" t="inlineStr">
        <is>
          <t>array_in</t>
        </is>
      </c>
      <c r="E586" t="inlineStr">
        <is>
          <t>currency</t>
        </is>
      </c>
      <c r="G586" t="inlineStr">
        <is>
          <t>T12 monthly: Other Income - Storage</t>
        </is>
      </c>
    </row>
    <row r="587">
      <c r="A587" s="98" t="inlineStr">
        <is>
          <t>in_t12_m_other</t>
        </is>
      </c>
      <c r="B587" t="inlineStr">
        <is>
          <t>P&amp;L</t>
        </is>
      </c>
      <c r="C587" t="inlineStr">
        <is>
          <t>$D$21:$O$21</t>
        </is>
      </c>
      <c r="D587" t="inlineStr">
        <is>
          <t>array_in</t>
        </is>
      </c>
      <c r="E587" t="inlineStr">
        <is>
          <t>currency</t>
        </is>
      </c>
      <c r="G587" t="inlineStr">
        <is>
          <t>T12 monthly: Other Income</t>
        </is>
      </c>
    </row>
    <row r="588">
      <c r="A588" s="98" t="inlineStr">
        <is>
          <t>in_t12_m_reimb</t>
        </is>
      </c>
      <c r="B588" t="inlineStr">
        <is>
          <t>P&amp;L</t>
        </is>
      </c>
      <c r="C588" t="inlineStr">
        <is>
          <t>$D$14:$O$14</t>
        </is>
      </c>
      <c r="D588" t="inlineStr">
        <is>
          <t>array_in</t>
        </is>
      </c>
      <c r="E588" t="inlineStr">
        <is>
          <t>currency</t>
        </is>
      </c>
      <c r="G588" t="inlineStr">
        <is>
          <t>T12 monthly: Reimbursements (RUBS)</t>
        </is>
      </c>
    </row>
    <row r="589">
      <c r="A589" s="98" t="inlineStr">
        <is>
          <t>in_t12_m_reimb_electric</t>
        </is>
      </c>
      <c r="B589" t="inlineStr">
        <is>
          <t>P&amp;L</t>
        </is>
      </c>
      <c r="C589" t="inlineStr">
        <is>
          <t>$D$16:$O$16</t>
        </is>
      </c>
      <c r="D589" t="inlineStr">
        <is>
          <t>array_in</t>
        </is>
      </c>
      <c r="E589" t="inlineStr">
        <is>
          <t>currency</t>
        </is>
      </c>
      <c r="G589" t="inlineStr">
        <is>
          <t>T12 monthly: Reimbursements (RUBS) - Electric</t>
        </is>
      </c>
    </row>
    <row r="590">
      <c r="A590" s="98" t="inlineStr">
        <is>
          <t>in_t12_m_reimb_gas</t>
        </is>
      </c>
      <c r="B590" t="inlineStr">
        <is>
          <t>P&amp;L</t>
        </is>
      </c>
      <c r="C590" t="inlineStr">
        <is>
          <t>$D$18:$O$18</t>
        </is>
      </c>
      <c r="D590" t="inlineStr">
        <is>
          <t>array_in</t>
        </is>
      </c>
      <c r="E590" t="inlineStr">
        <is>
          <t>currency</t>
        </is>
      </c>
      <c r="G590" t="inlineStr">
        <is>
          <t>T12 monthly: Reimbursements (RUBS) - Gas</t>
        </is>
      </c>
    </row>
    <row r="591">
      <c r="A591" s="98" t="inlineStr">
        <is>
          <t>in_t12_m_reimb_general</t>
        </is>
      </c>
      <c r="B591" t="inlineStr">
        <is>
          <t>P&amp;L</t>
        </is>
      </c>
      <c r="C591" t="inlineStr">
        <is>
          <t>$D$15:$O$15</t>
        </is>
      </c>
      <c r="D591" t="inlineStr">
        <is>
          <t>array_in</t>
        </is>
      </c>
      <c r="E591" t="inlineStr">
        <is>
          <t>currency</t>
        </is>
      </c>
      <c r="G591" t="inlineStr">
        <is>
          <t>T12 monthly: Reimbursements (RUBS) - General</t>
        </is>
      </c>
    </row>
    <row r="592">
      <c r="A592" s="98" t="inlineStr">
        <is>
          <t>in_t12_m_reimb_trash</t>
        </is>
      </c>
      <c r="B592" t="inlineStr">
        <is>
          <t>P&amp;L</t>
        </is>
      </c>
      <c r="C592" t="inlineStr">
        <is>
          <t>$D$19:$O$19</t>
        </is>
      </c>
      <c r="D592" t="inlineStr">
        <is>
          <t>array_in</t>
        </is>
      </c>
      <c r="E592" t="inlineStr">
        <is>
          <t>currency</t>
        </is>
      </c>
      <c r="G592" t="inlineStr">
        <is>
          <t>T12 monthly: Reimbursements (RUBS) - Trash</t>
        </is>
      </c>
    </row>
    <row r="593">
      <c r="A593" s="98" t="inlineStr">
        <is>
          <t>in_t12_m_reimb_water</t>
        </is>
      </c>
      <c r="B593" t="inlineStr">
        <is>
          <t>P&amp;L</t>
        </is>
      </c>
      <c r="C593" t="inlineStr">
        <is>
          <t>$D$17:$O$17</t>
        </is>
      </c>
      <c r="D593" t="inlineStr">
        <is>
          <t>array_in</t>
        </is>
      </c>
      <c r="E593" t="inlineStr">
        <is>
          <t>currency</t>
        </is>
      </c>
      <c r="G593" t="inlineStr">
        <is>
          <t>T12 monthly: Reimbursements (RUBS) - Water/Sewer</t>
        </is>
      </c>
    </row>
    <row r="594">
      <c r="A594" s="98" t="inlineStr">
        <is>
          <t>in_t12_m_rm</t>
        </is>
      </c>
      <c r="B594" t="inlineStr">
        <is>
          <t>P&amp;L</t>
        </is>
      </c>
      <c r="C594" t="inlineStr">
        <is>
          <t>$D$34:$O$34</t>
        </is>
      </c>
      <c r="D594" t="inlineStr">
        <is>
          <t>array_in</t>
        </is>
      </c>
      <c r="E594" t="inlineStr">
        <is>
          <t>currency</t>
        </is>
      </c>
      <c r="G594" t="inlineStr">
        <is>
          <t>T12 monthly: Repairs and Maintenance</t>
        </is>
      </c>
    </row>
    <row r="595">
      <c r="A595" s="98" t="inlineStr">
        <is>
          <t>in_t12_m_rm_contract</t>
        </is>
      </c>
      <c r="B595" t="inlineStr">
        <is>
          <t>P&amp;L</t>
        </is>
      </c>
      <c r="C595" t="inlineStr">
        <is>
          <t>$D$36:$O$36</t>
        </is>
      </c>
      <c r="D595" t="inlineStr">
        <is>
          <t>array_in</t>
        </is>
      </c>
      <c r="E595" t="inlineStr">
        <is>
          <t>currency</t>
        </is>
      </c>
      <c r="G595" t="inlineStr">
        <is>
          <t>T12 monthly: Repairs and Maintenance - Contract Services</t>
        </is>
      </c>
    </row>
    <row r="596">
      <c r="A596" s="98" t="inlineStr">
        <is>
          <t>in_t12_m_rm_general</t>
        </is>
      </c>
      <c r="B596" t="inlineStr">
        <is>
          <t>P&amp;L</t>
        </is>
      </c>
      <c r="C596" t="inlineStr">
        <is>
          <t>$D$35:$O$35</t>
        </is>
      </c>
      <c r="D596" t="inlineStr">
        <is>
          <t>array_in</t>
        </is>
      </c>
      <c r="E596" t="inlineStr">
        <is>
          <t>currency</t>
        </is>
      </c>
      <c r="G596" t="inlineStr">
        <is>
          <t>T12 monthly: Repairs and Maintenance - General</t>
        </is>
      </c>
    </row>
    <row r="597">
      <c r="A597" s="98" t="inlineStr">
        <is>
          <t>in_t12_m_rm_turnover</t>
        </is>
      </c>
      <c r="B597" t="inlineStr">
        <is>
          <t>P&amp;L</t>
        </is>
      </c>
      <c r="C597" t="inlineStr">
        <is>
          <t>$D$37:$O$37</t>
        </is>
      </c>
      <c r="D597" t="inlineStr">
        <is>
          <t>array_in</t>
        </is>
      </c>
      <c r="E597" t="inlineStr">
        <is>
          <t>currency</t>
        </is>
      </c>
      <c r="G597" t="inlineStr">
        <is>
          <t>T12 monthly: Repairs and Maintenance - Turnover</t>
        </is>
      </c>
    </row>
    <row r="598">
      <c r="A598" s="98" t="inlineStr">
        <is>
          <t>in_t12_m_salaries</t>
        </is>
      </c>
      <c r="B598" t="inlineStr">
        <is>
          <t>P&amp;L</t>
        </is>
      </c>
      <c r="C598" t="inlineStr">
        <is>
          <t>$D$33:$O$33</t>
        </is>
      </c>
      <c r="D598" t="inlineStr">
        <is>
          <t>array_in</t>
        </is>
      </c>
      <c r="E598" t="inlineStr">
        <is>
          <t>currency</t>
        </is>
      </c>
      <c r="G598" t="inlineStr">
        <is>
          <t>T12 monthly: Salaries</t>
        </is>
      </c>
    </row>
    <row r="599">
      <c r="A599" s="98" t="inlineStr">
        <is>
          <t>in_t12_m_taxes</t>
        </is>
      </c>
      <c r="B599" t="inlineStr">
        <is>
          <t>P&amp;L</t>
        </is>
      </c>
      <c r="C599" t="inlineStr">
        <is>
          <t>$D$31:$O$31</t>
        </is>
      </c>
      <c r="D599" t="inlineStr">
        <is>
          <t>array_in</t>
        </is>
      </c>
      <c r="E599" t="inlineStr">
        <is>
          <t>currency</t>
        </is>
      </c>
      <c r="G599" t="inlineStr">
        <is>
          <t>T12 monthly: Real Estate Taxes</t>
        </is>
      </c>
    </row>
    <row r="600">
      <c r="A600" s="98" t="inlineStr">
        <is>
          <t>in_t12_m_unmapped</t>
        </is>
      </c>
      <c r="B600" t="inlineStr">
        <is>
          <t>P&amp;L</t>
        </is>
      </c>
      <c r="C600" t="inlineStr">
        <is>
          <t>$D$47:$O$47</t>
        </is>
      </c>
      <c r="D600" t="inlineStr">
        <is>
          <t>array_in</t>
        </is>
      </c>
      <c r="E600" t="inlineStr">
        <is>
          <t>currency</t>
        </is>
      </c>
      <c r="G600" t="inlineStr">
        <is>
          <t>T12 monthly: Other / Unmapped</t>
        </is>
      </c>
    </row>
    <row r="601">
      <c r="A601" s="98" t="inlineStr">
        <is>
          <t>in_t12_m_util_electric</t>
        </is>
      </c>
      <c r="B601" t="inlineStr">
        <is>
          <t>P&amp;L</t>
        </is>
      </c>
      <c r="C601" t="inlineStr">
        <is>
          <t>$D$40:$O$40</t>
        </is>
      </c>
      <c r="D601" t="inlineStr">
        <is>
          <t>array_in</t>
        </is>
      </c>
      <c r="E601" t="inlineStr">
        <is>
          <t>currency</t>
        </is>
      </c>
      <c r="G601" t="inlineStr">
        <is>
          <t>T12 monthly: Utilities - Electric</t>
        </is>
      </c>
    </row>
    <row r="602">
      <c r="A602" s="98" t="inlineStr">
        <is>
          <t>in_t12_m_util_gas</t>
        </is>
      </c>
      <c r="B602" t="inlineStr">
        <is>
          <t>P&amp;L</t>
        </is>
      </c>
      <c r="C602" t="inlineStr">
        <is>
          <t>$D$42:$O$42</t>
        </is>
      </c>
      <c r="D602" t="inlineStr">
        <is>
          <t>array_in</t>
        </is>
      </c>
      <c r="E602" t="inlineStr">
        <is>
          <t>currency</t>
        </is>
      </c>
      <c r="G602" t="inlineStr">
        <is>
          <t>T12 monthly: Utilities - Gas</t>
        </is>
      </c>
    </row>
    <row r="603">
      <c r="A603" s="98" t="inlineStr">
        <is>
          <t>in_t12_m_util_general</t>
        </is>
      </c>
      <c r="B603" t="inlineStr">
        <is>
          <t>P&amp;L</t>
        </is>
      </c>
      <c r="C603" t="inlineStr">
        <is>
          <t>$D$39:$O$39</t>
        </is>
      </c>
      <c r="D603" t="inlineStr">
        <is>
          <t>array_in</t>
        </is>
      </c>
      <c r="E603" t="inlineStr">
        <is>
          <t>currency</t>
        </is>
      </c>
      <c r="G603" t="inlineStr">
        <is>
          <t>T12 monthly: Utilities - General</t>
        </is>
      </c>
    </row>
    <row r="604">
      <c r="A604" s="98" t="inlineStr">
        <is>
          <t>in_t12_m_util_trash</t>
        </is>
      </c>
      <c r="B604" t="inlineStr">
        <is>
          <t>P&amp;L</t>
        </is>
      </c>
      <c r="C604" t="inlineStr">
        <is>
          <t>$D$43:$O$43</t>
        </is>
      </c>
      <c r="D604" t="inlineStr">
        <is>
          <t>array_in</t>
        </is>
      </c>
      <c r="E604" t="inlineStr">
        <is>
          <t>currency</t>
        </is>
      </c>
      <c r="G604" t="inlineStr">
        <is>
          <t>T12 monthly: Utilities - Trash</t>
        </is>
      </c>
    </row>
    <row r="605">
      <c r="A605" s="98" t="inlineStr">
        <is>
          <t>in_t12_m_util_water</t>
        </is>
      </c>
      <c r="B605" t="inlineStr">
        <is>
          <t>P&amp;L</t>
        </is>
      </c>
      <c r="C605" t="inlineStr">
        <is>
          <t>$D$41:$O$41</t>
        </is>
      </c>
      <c r="D605" t="inlineStr">
        <is>
          <t>array_in</t>
        </is>
      </c>
      <c r="E605" t="inlineStr">
        <is>
          <t>currency</t>
        </is>
      </c>
      <c r="G605" t="inlineStr">
        <is>
          <t>T12 monthly: Utilities - Water/Sewer</t>
        </is>
      </c>
    </row>
    <row r="606">
      <c r="A606" s="98" t="inlineStr">
        <is>
          <t>in_t12_m_utilities</t>
        </is>
      </c>
      <c r="B606" t="inlineStr">
        <is>
          <t>P&amp;L</t>
        </is>
      </c>
      <c r="C606" t="inlineStr">
        <is>
          <t>$D$38:$O$38</t>
        </is>
      </c>
      <c r="D606" t="inlineStr">
        <is>
          <t>array_in</t>
        </is>
      </c>
      <c r="E606" t="inlineStr">
        <is>
          <t>currency</t>
        </is>
      </c>
      <c r="G606" t="inlineStr">
        <is>
          <t>T12 monthly: Utilities</t>
        </is>
      </c>
    </row>
    <row r="607">
      <c r="A607" s="98" t="inlineStr">
        <is>
          <t>in_t12_m_vacancy</t>
        </is>
      </c>
      <c r="B607" t="inlineStr">
        <is>
          <t>P&amp;L</t>
        </is>
      </c>
      <c r="C607" t="inlineStr">
        <is>
          <t>$D$10:$O$10</t>
        </is>
      </c>
      <c r="D607" t="inlineStr">
        <is>
          <t>array_in</t>
        </is>
      </c>
      <c r="E607" t="inlineStr">
        <is>
          <t>currency</t>
        </is>
      </c>
      <c r="G607" t="inlineStr">
        <is>
          <t>T12 monthly: Vacancy</t>
        </is>
      </c>
    </row>
    <row r="608">
      <c r="A608" s="98" t="inlineStr">
        <is>
          <t>in_tax_ai_note</t>
        </is>
      </c>
      <c r="B608" t="inlineStr">
        <is>
          <t>Preferences</t>
        </is>
      </c>
      <c r="C608" t="inlineStr">
        <is>
          <t>$C$42</t>
        </is>
      </c>
      <c r="D608" t="inlineStr">
        <is>
          <t>input</t>
        </is>
      </c>
      <c r="E608" t="inlineStr">
        <is>
          <t>text</t>
        </is>
      </c>
      <c r="F608">
        <f>in_tax_ai_note</f>
        <v/>
      </c>
      <c r="G608" t="inlineStr">
        <is>
          <t>e.g. "use T12 + growth for all California properties"</t>
        </is>
      </c>
    </row>
    <row r="609">
      <c r="A609" s="98" t="inlineStr">
        <is>
          <t>in_tax_method</t>
        </is>
      </c>
      <c r="B609" t="inlineStr">
        <is>
          <t>Summary &amp; Assumptions</t>
        </is>
      </c>
      <c r="C609" t="inlineStr">
        <is>
          <t>$C$53</t>
        </is>
      </c>
      <c r="D609" t="inlineStr">
        <is>
          <t>input</t>
        </is>
      </c>
      <c r="E609" t="inlineStr">
        <is>
          <t>enum</t>
        </is>
      </c>
      <c r="F609">
        <f>in_tax_method</f>
        <v/>
      </c>
      <c r="G609" t="inlineStr">
        <is>
          <t>Reassess at Purchase = Year 1 is price x rate; Hold T12 + Growth = Year 1 is the chosen P&amp;L scenario's tax line (going-in NOI = P&amp;L NOI) then grows; must match the lst_tax_method dropdown</t>
        </is>
      </c>
    </row>
    <row r="610">
      <c r="A610" s="98" t="inlineStr">
        <is>
          <t>in_tax_rate</t>
        </is>
      </c>
      <c r="B610" t="inlineStr">
        <is>
          <t>Summary &amp; Assumptions</t>
        </is>
      </c>
      <c r="C610" t="inlineStr">
        <is>
          <t>$H$53</t>
        </is>
      </c>
      <c r="D610" t="inlineStr">
        <is>
          <t>input</t>
        </is>
      </c>
      <c r="E610" t="inlineStr">
        <is>
          <t>pct</t>
        </is>
      </c>
      <c r="F610">
        <f>in_tax_rate</f>
        <v/>
      </c>
      <c r="G610" t="inlineStr">
        <is>
          <t>applied to purchase price in Reassess mode; defaults to the state effective rate (see State Tax Rates tab), editable</t>
        </is>
      </c>
      <c r="H610" s="95" t="inlineStr">
        <is>
          <t>'=IFERROR(VLOOKUP('Summary &amp; Assumptions'!$C$9,'State Tax Rates'!$B$7:$G$57,2,FALSE)*VLOOKUP('Summary &amp; Assumptions'!$C$9,'State Tax Rates'!$B$7:$G$57,4,FALSE),0.011)</t>
        </is>
      </c>
    </row>
    <row r="611">
      <c r="A611" s="98" t="inlineStr">
        <is>
          <t>in_transfer_ai_note</t>
        </is>
      </c>
      <c r="B611" t="inlineStr">
        <is>
          <t>Preferences</t>
        </is>
      </c>
      <c r="C611" t="inlineStr">
        <is>
          <t>$C$43</t>
        </is>
      </c>
      <c r="D611" t="inlineStr">
        <is>
          <t>input</t>
        </is>
      </c>
      <c r="E611" t="inlineStr">
        <is>
          <t>text</t>
        </is>
      </c>
      <c r="F611">
        <f>in_transfer_ai_note</f>
        <v/>
      </c>
      <c r="G611" t="inlineStr">
        <is>
          <t>e.g. "assume 1% for any property in Washington state"</t>
        </is>
      </c>
    </row>
    <row r="612">
      <c r="A612" s="98" t="inlineStr">
        <is>
          <t>in_um_avg_sf</t>
        </is>
      </c>
      <c r="B612" t="inlineStr">
        <is>
          <t>UnitMix</t>
        </is>
      </c>
      <c r="C612" t="inlineStr">
        <is>
          <t>$E$6:$E$30</t>
        </is>
      </c>
      <c r="D612" t="inlineStr">
        <is>
          <t>array_in</t>
        </is>
      </c>
      <c r="E612" t="inlineStr">
        <is>
          <t>float</t>
        </is>
      </c>
      <c r="G612" t="inlineStr">
        <is>
          <t>Avg SF</t>
        </is>
      </c>
    </row>
    <row r="613">
      <c r="A613" s="98" t="inlineStr">
        <is>
          <t>in_um_baths</t>
        </is>
      </c>
      <c r="B613" t="inlineStr">
        <is>
          <t>UnitMix</t>
        </is>
      </c>
      <c r="C613" t="inlineStr">
        <is>
          <t>$D$6:$D$30</t>
        </is>
      </c>
      <c r="D613" t="inlineStr">
        <is>
          <t>array_in</t>
        </is>
      </c>
      <c r="E613" t="inlineStr">
        <is>
          <t>float</t>
        </is>
      </c>
      <c r="G613" t="inlineStr">
        <is>
          <t>Baths</t>
        </is>
      </c>
    </row>
    <row r="614">
      <c r="A614" s="98" t="inlineStr">
        <is>
          <t>in_um_beds</t>
        </is>
      </c>
      <c r="B614" t="inlineStr">
        <is>
          <t>UnitMix</t>
        </is>
      </c>
      <c r="C614" t="inlineStr">
        <is>
          <t>$C$6:$C$30</t>
        </is>
      </c>
      <c r="D614" t="inlineStr">
        <is>
          <t>array_in</t>
        </is>
      </c>
      <c r="E614" t="inlineStr">
        <is>
          <t>float</t>
        </is>
      </c>
      <c r="G614" t="inlineStr">
        <is>
          <t>Beds</t>
        </is>
      </c>
    </row>
    <row r="615">
      <c r="A615" s="98" t="inlineStr">
        <is>
          <t>in_um_floorplan</t>
        </is>
      </c>
      <c r="B615" t="inlineStr">
        <is>
          <t>UnitMix</t>
        </is>
      </c>
      <c r="C615" t="inlineStr">
        <is>
          <t>$B$6:$B$30</t>
        </is>
      </c>
      <c r="D615" t="inlineStr">
        <is>
          <t>array_in</t>
        </is>
      </c>
      <c r="E615" t="inlineStr">
        <is>
          <t>text</t>
        </is>
      </c>
      <c r="G615" t="inlineStr">
        <is>
          <t>Floor Plan</t>
        </is>
      </c>
    </row>
    <row r="616">
      <c r="A616" s="98" t="inlineStr">
        <is>
          <t>in_um_inplace_rent</t>
        </is>
      </c>
      <c r="B616" t="inlineStr">
        <is>
          <t>UnitMix</t>
        </is>
      </c>
      <c r="C616" t="inlineStr">
        <is>
          <t>$H$6:$H$30</t>
        </is>
      </c>
      <c r="D616" t="inlineStr">
        <is>
          <t>array_in</t>
        </is>
      </c>
      <c r="E616" t="inlineStr">
        <is>
          <t>currency</t>
        </is>
      </c>
      <c r="G616" t="inlineStr">
        <is>
          <t>In-Place Rent /mo</t>
        </is>
      </c>
    </row>
    <row r="617">
      <c r="A617" s="98" t="inlineStr">
        <is>
          <t>in_um_market_rent</t>
        </is>
      </c>
      <c r="B617" t="inlineStr">
        <is>
          <t>UnitMix</t>
        </is>
      </c>
      <c r="C617" t="inlineStr">
        <is>
          <t>$I$6:$I$30</t>
        </is>
      </c>
      <c r="D617" t="inlineStr">
        <is>
          <t>array_in</t>
        </is>
      </c>
      <c r="E617" t="inlineStr">
        <is>
          <t>currency</t>
        </is>
      </c>
      <c r="G617" t="inlineStr">
        <is>
          <t>Mkt Rent /mo</t>
        </is>
      </c>
    </row>
    <row r="618">
      <c r="A618" s="98" t="inlineStr">
        <is>
          <t>in_um_tied_to_rr</t>
        </is>
      </c>
      <c r="B618" t="inlineStr">
        <is>
          <t>UnitMix</t>
        </is>
      </c>
      <c r="C618" t="inlineStr">
        <is>
          <t>$L$3</t>
        </is>
      </c>
      <c r="D618" t="inlineStr">
        <is>
          <t>input</t>
        </is>
      </c>
      <c r="E618" t="inlineStr">
        <is>
          <t>enum</t>
        </is>
      </c>
      <c r="F618">
        <f>in_um_tied_to_rr</f>
        <v/>
      </c>
      <c r="G618" t="inlineStr">
        <is>
          <t>Yes = Vacant counts come from the Rent Roll</t>
        </is>
      </c>
    </row>
    <row r="619">
      <c r="A619" s="98" t="inlineStr">
        <is>
          <t>in_um_units</t>
        </is>
      </c>
      <c r="B619" t="inlineStr">
        <is>
          <t>UnitMix</t>
        </is>
      </c>
      <c r="C619" t="inlineStr">
        <is>
          <t>$F$6:$F$30</t>
        </is>
      </c>
      <c r="D619" t="inlineStr">
        <is>
          <t>array_in</t>
        </is>
      </c>
      <c r="E619" t="inlineStr">
        <is>
          <t>float</t>
        </is>
      </c>
      <c r="G619" t="inlineStr">
        <is>
          <t>Units</t>
        </is>
      </c>
    </row>
    <row r="620">
      <c r="A620" s="98" t="inlineStr">
        <is>
          <t>in_um_vacant</t>
        </is>
      </c>
      <c r="B620" t="inlineStr">
        <is>
          <t>UnitMix</t>
        </is>
      </c>
      <c r="C620" t="inlineStr">
        <is>
          <t>$G$6:$G$30</t>
        </is>
      </c>
      <c r="D620" t="inlineStr">
        <is>
          <t>array_in</t>
        </is>
      </c>
      <c r="E620" t="inlineStr">
        <is>
          <t>float</t>
        </is>
      </c>
      <c r="G620" t="inlineStr">
        <is>
          <t>Vacant</t>
        </is>
      </c>
    </row>
    <row r="621">
      <c r="A621" s="98" t="inlineStr">
        <is>
          <t>in_val_cap_spread</t>
        </is>
      </c>
      <c r="B621" t="inlineStr">
        <is>
          <t>Summary</t>
        </is>
      </c>
      <c r="C621" t="inlineStr">
        <is>
          <t>$C$37</t>
        </is>
      </c>
      <c r="D621" t="inlineStr">
        <is>
          <t>input</t>
        </is>
      </c>
      <c r="E621" t="inlineStr">
        <is>
          <t>pct</t>
        </is>
      </c>
      <c r="F621">
        <f>in_val_cap_spread</f>
        <v/>
      </c>
      <c r="G621" t="inlineStr">
        <is>
          <t>bps applied to the going-in cap; default 25 bps</t>
        </is>
      </c>
    </row>
    <row r="622">
      <c r="A622" s="98" t="inlineStr">
        <is>
          <t>in_wf_accrue</t>
        </is>
      </c>
      <c r="B622" t="inlineStr">
        <is>
          <t>Investor Waterfall</t>
        </is>
      </c>
      <c r="C622" t="inlineStr">
        <is>
          <t>$C$11</t>
        </is>
      </c>
      <c r="D622" t="inlineStr">
        <is>
          <t>input</t>
        </is>
      </c>
      <c r="E622" t="inlineStr">
        <is>
          <t>bool</t>
        </is>
      </c>
      <c r="F622">
        <f>in_wf_accrue</f>
        <v/>
      </c>
      <c r="G622" t="inlineStr">
        <is>
          <t>Accrue Unpaid Pref?</t>
        </is>
      </c>
    </row>
    <row r="623">
      <c r="A623" s="98" t="inlineStr">
        <is>
          <t>in_wf_catchup</t>
        </is>
      </c>
      <c r="B623" t="inlineStr">
        <is>
          <t>Investor Waterfall</t>
        </is>
      </c>
      <c r="C623" t="inlineStr">
        <is>
          <t>$C$12</t>
        </is>
      </c>
      <c r="D623" t="inlineStr">
        <is>
          <t>input</t>
        </is>
      </c>
      <c r="E623" t="inlineStr">
        <is>
          <t>bool</t>
        </is>
      </c>
      <c r="F623">
        <f>in_wf_catchup</f>
        <v/>
      </c>
      <c r="G623" t="inlineStr">
        <is>
          <t>GP Catch-Up?</t>
        </is>
      </c>
    </row>
    <row r="624">
      <c r="A624" s="98" t="inlineStr">
        <is>
          <t>in_wf_catchup_pct</t>
        </is>
      </c>
      <c r="B624" t="inlineStr">
        <is>
          <t>Investor Waterfall</t>
        </is>
      </c>
      <c r="C624" t="inlineStr">
        <is>
          <t>$C$13</t>
        </is>
      </c>
      <c r="D624" t="inlineStr">
        <is>
          <t>input</t>
        </is>
      </c>
      <c r="E624" t="inlineStr">
        <is>
          <t>pct</t>
        </is>
      </c>
      <c r="F624">
        <f>in_wf_catchup_pct</f>
        <v/>
      </c>
      <c r="G624" t="inlineStr">
        <is>
          <t>Catch-Up to (GP % of profits)</t>
        </is>
      </c>
    </row>
    <row r="625">
      <c r="A625" s="98" t="inlineStr">
        <is>
          <t>in_wf_gp_equity_pct</t>
        </is>
      </c>
      <c r="B625" t="inlineStr">
        <is>
          <t>Investor Waterfall</t>
        </is>
      </c>
      <c r="C625" t="inlineStr">
        <is>
          <t>$C$6</t>
        </is>
      </c>
      <c r="D625" t="inlineStr">
        <is>
          <t>input</t>
        </is>
      </c>
      <c r="E625" t="inlineStr">
        <is>
          <t>pct</t>
        </is>
      </c>
      <c r="F625">
        <f>in_wf_gp_equity_pct</f>
        <v/>
      </c>
      <c r="G625" t="inlineStr">
        <is>
          <t>GP Equity Contribution %</t>
        </is>
      </c>
    </row>
    <row r="626">
      <c r="A626" s="98" t="inlineStr">
        <is>
          <t>in_wf_mode</t>
        </is>
      </c>
      <c r="B626" t="inlineStr">
        <is>
          <t>Investor Waterfall</t>
        </is>
      </c>
      <c r="C626" t="inlineStr">
        <is>
          <t>$C$8</t>
        </is>
      </c>
      <c r="D626" t="inlineStr">
        <is>
          <t>input</t>
        </is>
      </c>
      <c r="E626" t="inlineStr">
        <is>
          <t>enum</t>
        </is>
      </c>
      <c r="F626">
        <f>in_wf_mode</f>
        <v/>
      </c>
      <c r="G626" t="inlineStr">
        <is>
          <t>Pari Passu after Pref = simple mode, no tiers</t>
        </is>
      </c>
    </row>
    <row r="627">
      <c r="A627" s="98" t="inlineStr">
        <is>
          <t>in_wf_pref_rate</t>
        </is>
      </c>
      <c r="B627" t="inlineStr">
        <is>
          <t>Investor Waterfall</t>
        </is>
      </c>
      <c r="C627" t="inlineStr">
        <is>
          <t>$C$9</t>
        </is>
      </c>
      <c r="D627" t="inlineStr">
        <is>
          <t>input</t>
        </is>
      </c>
      <c r="E627" t="inlineStr">
        <is>
          <t>pct</t>
        </is>
      </c>
      <c r="F627">
        <f>in_wf_pref_rate</f>
        <v/>
      </c>
      <c r="G627" t="inlineStr">
        <is>
          <t>Preferred Return (Tier 1 Hurdle)</t>
        </is>
      </c>
    </row>
    <row r="628">
      <c r="A628" s="98" t="inlineStr">
        <is>
          <t>in_wf_pref_type</t>
        </is>
      </c>
      <c r="B628" t="inlineStr">
        <is>
          <t>Investor Waterfall</t>
        </is>
      </c>
      <c r="C628" t="inlineStr">
        <is>
          <t>$C$10</t>
        </is>
      </c>
      <c r="D628" t="inlineStr">
        <is>
          <t>input</t>
        </is>
      </c>
      <c r="E628" t="inlineStr">
        <is>
          <t>enum</t>
        </is>
      </c>
      <c r="F628">
        <f>in_wf_pref_type</f>
        <v/>
      </c>
      <c r="G628" t="inlineStr">
        <is>
          <t>Pref Type</t>
        </is>
      </c>
    </row>
    <row r="629">
      <c r="A629" s="98" t="inlineStr">
        <is>
          <t>in_wf_residual_gp</t>
        </is>
      </c>
      <c r="B629" t="inlineStr">
        <is>
          <t>Investor Waterfall</t>
        </is>
      </c>
      <c r="C629" t="inlineStr">
        <is>
          <t>$C$20</t>
        </is>
      </c>
      <c r="D629" t="inlineStr">
        <is>
          <t>input</t>
        </is>
      </c>
      <c r="E629" t="inlineStr">
        <is>
          <t>pct</t>
        </is>
      </c>
      <c r="F629">
        <f>in_wf_residual_gp</f>
        <v/>
      </c>
      <c r="G629" t="inlineStr">
        <is>
          <t>Residual GP Promote</t>
        </is>
      </c>
    </row>
    <row r="630">
      <c r="A630" s="98" t="inlineStr">
        <is>
          <t>in_wf_t2_gp</t>
        </is>
      </c>
      <c r="B630" t="inlineStr">
        <is>
          <t>Investor Waterfall</t>
        </is>
      </c>
      <c r="C630" t="inlineStr">
        <is>
          <t>$C$15</t>
        </is>
      </c>
      <c r="D630" t="inlineStr">
        <is>
          <t>input</t>
        </is>
      </c>
      <c r="E630" t="inlineStr">
        <is>
          <t>pct</t>
        </is>
      </c>
      <c r="F630">
        <f>in_wf_t2_gp</f>
        <v/>
      </c>
      <c r="G630" t="inlineStr">
        <is>
          <t>Tier 2 GP Promote</t>
        </is>
      </c>
    </row>
    <row r="631">
      <c r="A631" s="98" t="inlineStr">
        <is>
          <t>in_wf_t2_hurdle</t>
        </is>
      </c>
      <c r="B631" t="inlineStr">
        <is>
          <t>Investor Waterfall</t>
        </is>
      </c>
      <c r="C631" t="inlineStr">
        <is>
          <t>$C$14</t>
        </is>
      </c>
      <c r="D631" t="inlineStr">
        <is>
          <t>input</t>
        </is>
      </c>
      <c r="E631" t="inlineStr">
        <is>
          <t>pct</t>
        </is>
      </c>
      <c r="F631">
        <f>in_wf_t2_hurdle</f>
        <v/>
      </c>
      <c r="G631" t="inlineStr">
        <is>
          <t>Tier 2 Hurdle (IRR)</t>
        </is>
      </c>
    </row>
    <row r="632">
      <c r="A632" s="98" t="inlineStr">
        <is>
          <t>in_wf_t3_gp</t>
        </is>
      </c>
      <c r="B632" t="inlineStr">
        <is>
          <t>Investor Waterfall</t>
        </is>
      </c>
      <c r="C632" t="inlineStr">
        <is>
          <t>$C$17</t>
        </is>
      </c>
      <c r="D632" t="inlineStr">
        <is>
          <t>input</t>
        </is>
      </c>
      <c r="E632" t="inlineStr">
        <is>
          <t>pct</t>
        </is>
      </c>
      <c r="F632">
        <f>in_wf_t3_gp</f>
        <v/>
      </c>
      <c r="G632" t="inlineStr">
        <is>
          <t>Tier 3 GP Promote</t>
        </is>
      </c>
    </row>
    <row r="633">
      <c r="A633" s="98" t="inlineStr">
        <is>
          <t>in_wf_t3_hurdle</t>
        </is>
      </c>
      <c r="B633" t="inlineStr">
        <is>
          <t>Investor Waterfall</t>
        </is>
      </c>
      <c r="C633" t="inlineStr">
        <is>
          <t>$C$16</t>
        </is>
      </c>
      <c r="D633" t="inlineStr">
        <is>
          <t>input</t>
        </is>
      </c>
      <c r="E633" t="inlineStr">
        <is>
          <t>pct</t>
        </is>
      </c>
      <c r="F633">
        <f>in_wf_t3_hurdle</f>
        <v/>
      </c>
      <c r="G633" t="inlineStr">
        <is>
          <t>Tier 3 Hurdle (IRR)</t>
        </is>
      </c>
    </row>
    <row r="634">
      <c r="A634" s="98" t="inlineStr">
        <is>
          <t>in_wf_t4_gp</t>
        </is>
      </c>
      <c r="B634" t="inlineStr">
        <is>
          <t>Investor Waterfall</t>
        </is>
      </c>
      <c r="C634" t="inlineStr">
        <is>
          <t>$C$19</t>
        </is>
      </c>
      <c r="D634" t="inlineStr">
        <is>
          <t>input</t>
        </is>
      </c>
      <c r="E634" t="inlineStr">
        <is>
          <t>pct</t>
        </is>
      </c>
      <c r="F634">
        <f>in_wf_t4_gp</f>
        <v/>
      </c>
      <c r="G634" t="inlineStr">
        <is>
          <t>Tier 4 GP Promote</t>
        </is>
      </c>
    </row>
    <row r="635">
      <c r="A635" s="98" t="inlineStr">
        <is>
          <t>in_wf_t4_hurdle</t>
        </is>
      </c>
      <c r="B635" t="inlineStr">
        <is>
          <t>Investor Waterfall</t>
        </is>
      </c>
      <c r="C635" t="inlineStr">
        <is>
          <t>$C$18</t>
        </is>
      </c>
      <c r="D635" t="inlineStr">
        <is>
          <t>input</t>
        </is>
      </c>
      <c r="E635" t="inlineStr">
        <is>
          <t>pct</t>
        </is>
      </c>
      <c r="F635">
        <f>in_wf_t4_hurdle</f>
        <v/>
      </c>
      <c r="G635" t="inlineStr">
        <is>
          <t>Tier 4 Hurdle (IRR)</t>
        </is>
      </c>
    </row>
    <row r="636">
      <c r="A636" s="98" t="inlineStr">
        <is>
          <t>lst_am_fee_basis</t>
        </is>
      </c>
      <c r="B636" t="inlineStr">
        <is>
          <t>Lists</t>
        </is>
      </c>
      <c r="C636" t="inlineStr">
        <is>
          <t>$G$3:$G$6</t>
        </is>
      </c>
      <c r="D636" t="inlineStr">
        <is>
          <t>array_in</t>
        </is>
      </c>
      <c r="E636" t="inlineStr">
        <is>
          <t>text</t>
        </is>
      </c>
      <c r="G636" t="inlineStr">
        <is>
          <t>validation list lst_am_fee_basis</t>
        </is>
      </c>
    </row>
    <row r="637">
      <c r="A637" s="98" t="inlineStr">
        <is>
          <t>lst_apply_proceeds</t>
        </is>
      </c>
      <c r="B637" t="inlineStr">
        <is>
          <t>Lists</t>
        </is>
      </c>
      <c r="C637" t="inlineStr">
        <is>
          <t>$N$3:$N$5</t>
        </is>
      </c>
      <c r="D637" t="inlineStr">
        <is>
          <t>array_in</t>
        </is>
      </c>
      <c r="E637" t="inlineStr">
        <is>
          <t>text</t>
        </is>
      </c>
      <c r="G637" t="inlineStr">
        <is>
          <t>validation list lst_apply_proceeds</t>
        </is>
      </c>
    </row>
    <row r="638">
      <c r="A638" s="98" t="inlineStr">
        <is>
          <t>lst_calc_type</t>
        </is>
      </c>
      <c r="B638" t="inlineStr">
        <is>
          <t>Lists</t>
        </is>
      </c>
      <c r="C638" t="inlineStr">
        <is>
          <t>$F$3:$F$8</t>
        </is>
      </c>
      <c r="D638" t="inlineStr">
        <is>
          <t>array_in</t>
        </is>
      </c>
      <c r="E638" t="inlineStr">
        <is>
          <t>text</t>
        </is>
      </c>
      <c r="G638" t="inlineStr">
        <is>
          <t>validation list lst_calc_type</t>
        </is>
      </c>
    </row>
    <row r="639">
      <c r="A639" s="98" t="inlineStr">
        <is>
          <t>lst_exit_basis</t>
        </is>
      </c>
      <c r="B639" t="inlineStr">
        <is>
          <t>Lists</t>
        </is>
      </c>
      <c r="C639" t="inlineStr">
        <is>
          <t>$J$3:$J$4</t>
        </is>
      </c>
      <c r="D639" t="inlineStr">
        <is>
          <t>array_in</t>
        </is>
      </c>
      <c r="E639" t="inlineStr">
        <is>
          <t>text</t>
        </is>
      </c>
      <c r="G639" t="inlineStr">
        <is>
          <t>validation list lst_exit_basis</t>
        </is>
      </c>
    </row>
    <row r="640">
      <c r="A640" s="98" t="inlineStr">
        <is>
          <t>lst_expense_map</t>
        </is>
      </c>
      <c r="B640" t="inlineStr">
        <is>
          <t>Lists</t>
        </is>
      </c>
      <c r="C640" t="inlineStr">
        <is>
          <t>$P$3:$P$11</t>
        </is>
      </c>
      <c r="D640" t="inlineStr">
        <is>
          <t>array_in</t>
        </is>
      </c>
      <c r="E640" t="inlineStr">
        <is>
          <t>text</t>
        </is>
      </c>
      <c r="G640" t="inlineStr">
        <is>
          <t>validation list lst_expense_map</t>
        </is>
      </c>
    </row>
    <row r="641">
      <c r="A641" s="98" t="inlineStr">
        <is>
          <t>lst_growth_basis</t>
        </is>
      </c>
      <c r="B641" t="inlineStr">
        <is>
          <t>Lists</t>
        </is>
      </c>
      <c r="C641" t="inlineStr">
        <is>
          <t>$M$3:$M$4</t>
        </is>
      </c>
      <c r="D641" t="inlineStr">
        <is>
          <t>array_in</t>
        </is>
      </c>
      <c r="E641" t="inlineStr">
        <is>
          <t>text</t>
        </is>
      </c>
      <c r="G641" t="inlineStr">
        <is>
          <t>validation list lst_growth_basis</t>
        </is>
      </c>
    </row>
    <row r="642">
      <c r="A642" s="98" t="inlineStr">
        <is>
          <t>lst_index</t>
        </is>
      </c>
      <c r="B642" t="inlineStr">
        <is>
          <t>Lists</t>
        </is>
      </c>
      <c r="C642" t="inlineStr">
        <is>
          <t>$C$3:$C$6</t>
        </is>
      </c>
      <c r="D642" t="inlineStr">
        <is>
          <t>array_in</t>
        </is>
      </c>
      <c r="E642" t="inlineStr">
        <is>
          <t>text</t>
        </is>
      </c>
      <c r="G642" t="inlineStr">
        <is>
          <t>validation list lst_index</t>
        </is>
      </c>
    </row>
    <row r="643">
      <c r="A643" s="98" t="inlineStr">
        <is>
          <t>lst_loan_sizing</t>
        </is>
      </c>
      <c r="B643" t="inlineStr">
        <is>
          <t>Lists</t>
        </is>
      </c>
      <c r="C643" t="inlineStr">
        <is>
          <t>$D$3:$D$5</t>
        </is>
      </c>
      <c r="D643" t="inlineStr">
        <is>
          <t>array_in</t>
        </is>
      </c>
      <c r="E643" t="inlineStr">
        <is>
          <t>text</t>
        </is>
      </c>
      <c r="G643" t="inlineStr">
        <is>
          <t>validation list lst_loan_sizing</t>
        </is>
      </c>
    </row>
    <row r="644">
      <c r="A644" s="98" t="inlineStr">
        <is>
          <t>lst_loan_type</t>
        </is>
      </c>
      <c r="B644" t="inlineStr">
        <is>
          <t>Lists</t>
        </is>
      </c>
      <c r="C644" t="inlineStr">
        <is>
          <t>$E$3:$E$5</t>
        </is>
      </c>
      <c r="D644" t="inlineStr">
        <is>
          <t>array_in</t>
        </is>
      </c>
      <c r="E644" t="inlineStr">
        <is>
          <t>text</t>
        </is>
      </c>
      <c r="G644" t="inlineStr">
        <is>
          <t>validation list lst_loan_type</t>
        </is>
      </c>
    </row>
    <row r="645">
      <c r="A645" s="98" t="inlineStr">
        <is>
          <t>lst_occ_status</t>
        </is>
      </c>
      <c r="B645" t="inlineStr">
        <is>
          <t>Lists</t>
        </is>
      </c>
      <c r="C645" t="inlineStr">
        <is>
          <t>$O$3:$O$5</t>
        </is>
      </c>
      <c r="D645" t="inlineStr">
        <is>
          <t>array_in</t>
        </is>
      </c>
      <c r="E645" t="inlineStr">
        <is>
          <t>text</t>
        </is>
      </c>
      <c r="G645" t="inlineStr">
        <is>
          <t>validation list lst_occ_status</t>
        </is>
      </c>
    </row>
    <row r="646">
      <c r="A646" s="98" t="inlineStr">
        <is>
          <t>lst_pref_type</t>
        </is>
      </c>
      <c r="B646" t="inlineStr">
        <is>
          <t>Lists</t>
        </is>
      </c>
      <c r="C646" t="inlineStr">
        <is>
          <t>$I$3:$I$4</t>
        </is>
      </c>
      <c r="D646" t="inlineStr">
        <is>
          <t>array_in</t>
        </is>
      </c>
      <c r="E646" t="inlineStr">
        <is>
          <t>text</t>
        </is>
      </c>
      <c r="G646" t="inlineStr">
        <is>
          <t>validation list lst_pref_type</t>
        </is>
      </c>
    </row>
    <row r="647">
      <c r="A647" s="98" t="inlineStr">
        <is>
          <t>lst_rate_type</t>
        </is>
      </c>
      <c r="B647" t="inlineStr">
        <is>
          <t>Lists</t>
        </is>
      </c>
      <c r="C647" t="inlineStr">
        <is>
          <t>$B$3:$B$4</t>
        </is>
      </c>
      <c r="D647" t="inlineStr">
        <is>
          <t>array_in</t>
        </is>
      </c>
      <c r="E647" t="inlineStr">
        <is>
          <t>text</t>
        </is>
      </c>
      <c r="G647" t="inlineStr">
        <is>
          <t>validation list lst_rate_type</t>
        </is>
      </c>
    </row>
    <row r="648">
      <c r="A648" s="98" t="inlineStr">
        <is>
          <t>lst_slung_map</t>
        </is>
      </c>
      <c r="B648" t="inlineStr">
        <is>
          <t>Lists</t>
        </is>
      </c>
      <c r="C648" t="inlineStr">
        <is>
          <t>$Q$3:$Q$41</t>
        </is>
      </c>
      <c r="D648" t="inlineStr">
        <is>
          <t>array_in</t>
        </is>
      </c>
      <c r="E648" t="inlineStr">
        <is>
          <t>text</t>
        </is>
      </c>
      <c r="G648" t="inlineStr">
        <is>
          <t>validation list lst_slung_map</t>
        </is>
      </c>
    </row>
    <row r="649">
      <c r="A649" s="98" t="inlineStr">
        <is>
          <t>lst_states</t>
        </is>
      </c>
      <c r="B649" t="inlineStr">
        <is>
          <t>State Tax Rates</t>
        </is>
      </c>
      <c r="C649" t="inlineStr">
        <is>
          <t>$B$7:$B$57</t>
        </is>
      </c>
      <c r="D649" t="inlineStr">
        <is>
          <t>array_in</t>
        </is>
      </c>
      <c r="E649" t="inlineStr">
        <is>
          <t>text</t>
        </is>
      </c>
      <c r="G649" t="inlineStr">
        <is>
          <t>state codes</t>
        </is>
      </c>
    </row>
    <row r="650">
      <c r="A650" s="98" t="inlineStr">
        <is>
          <t>lst_t12_basis</t>
        </is>
      </c>
      <c r="B650" t="inlineStr">
        <is>
          <t>Lists</t>
        </is>
      </c>
      <c r="C650" t="inlineStr">
        <is>
          <t>$L$3:$L$6</t>
        </is>
      </c>
      <c r="D650" t="inlineStr">
        <is>
          <t>array_in</t>
        </is>
      </c>
      <c r="E650" t="inlineStr">
        <is>
          <t>text</t>
        </is>
      </c>
      <c r="G650" t="inlineStr">
        <is>
          <t>validation list lst_t12_basis</t>
        </is>
      </c>
    </row>
    <row r="651">
      <c r="A651" s="98" t="inlineStr">
        <is>
          <t>lst_tax_method</t>
        </is>
      </c>
      <c r="B651" t="inlineStr">
        <is>
          <t>Lists</t>
        </is>
      </c>
      <c r="C651" t="inlineStr">
        <is>
          <t>$K$3:$K$5</t>
        </is>
      </c>
      <c r="D651" t="inlineStr">
        <is>
          <t>array_in</t>
        </is>
      </c>
      <c r="E651" t="inlineStr">
        <is>
          <t>text</t>
        </is>
      </c>
      <c r="G651" t="inlineStr">
        <is>
          <t>validation list lst_tax_method</t>
        </is>
      </c>
    </row>
    <row r="652">
      <c r="A652" s="98" t="inlineStr">
        <is>
          <t>lst_wf_mode</t>
        </is>
      </c>
      <c r="B652" t="inlineStr">
        <is>
          <t>Lists</t>
        </is>
      </c>
      <c r="C652" t="inlineStr">
        <is>
          <t>$H$3:$H$4</t>
        </is>
      </c>
      <c r="D652" t="inlineStr">
        <is>
          <t>array_in</t>
        </is>
      </c>
      <c r="E652" t="inlineStr">
        <is>
          <t>text</t>
        </is>
      </c>
      <c r="G652" t="inlineStr">
        <is>
          <t>validation list lst_wf_mode</t>
        </is>
      </c>
    </row>
    <row r="653">
      <c r="A653" s="98" t="inlineStr">
        <is>
          <t>lst_yn</t>
        </is>
      </c>
      <c r="B653" t="inlineStr">
        <is>
          <t>Lists</t>
        </is>
      </c>
      <c r="C653" t="inlineStr">
        <is>
          <t>$A$3:$A$4</t>
        </is>
      </c>
      <c r="D653" t="inlineStr">
        <is>
          <t>array_in</t>
        </is>
      </c>
      <c r="E653" t="inlineStr">
        <is>
          <t>text</t>
        </is>
      </c>
      <c r="G653" t="inlineStr">
        <is>
          <t>validation list lst_yn</t>
        </is>
      </c>
    </row>
    <row r="654">
      <c r="A654" s="97" t="inlineStr">
        <is>
          <t>out_acq_fee_usd</t>
        </is>
      </c>
      <c r="B654" t="inlineStr">
        <is>
          <t>Summary &amp; Assumptions</t>
        </is>
      </c>
      <c r="C654" t="inlineStr">
        <is>
          <t>$H$12</t>
        </is>
      </c>
      <c r="D654" t="inlineStr">
        <is>
          <t>output</t>
        </is>
      </c>
      <c r="E654" t="inlineStr">
        <is>
          <t>currency</t>
        </is>
      </c>
      <c r="F654">
        <f>out_acq_fee_usd</f>
        <v/>
      </c>
      <c r="G654" t="inlineStr">
        <is>
          <t>Acquisition Fee (see Fees)</t>
        </is>
      </c>
      <c r="H654" s="95" t="inlineStr">
        <is>
          <t>'='Investor Waterfall'!$H$6*'Summary &amp; Assumptions'!$H$6</t>
        </is>
      </c>
    </row>
    <row r="655">
      <c r="A655" s="97" t="inlineStr">
        <is>
          <t>out_acq_op_reserve_usd</t>
        </is>
      </c>
      <c r="B655" t="inlineStr">
        <is>
          <t>Summary &amp; Assumptions</t>
        </is>
      </c>
      <c r="C655" t="inlineStr">
        <is>
          <t>$I$8</t>
        </is>
      </c>
      <c r="D655" t="inlineStr">
        <is>
          <t>output</t>
        </is>
      </c>
      <c r="E655" t="inlineStr">
        <is>
          <t>currency</t>
        </is>
      </c>
      <c r="F655">
        <f>out_acq_op_reserve_usd</f>
        <v/>
      </c>
      <c r="G655" t="inlineStr"/>
      <c r="H655" s="95" t="inlineStr">
        <is>
          <t>'='Summary &amp; Assumptions'!$H$8*'Summary &amp; Assumptions'!$H$6</t>
        </is>
      </c>
    </row>
    <row r="656">
      <c r="A656" s="97" t="inlineStr">
        <is>
          <t>out_acq_total_costs</t>
        </is>
      </c>
      <c r="B656" t="inlineStr">
        <is>
          <t>Summary &amp; Assumptions</t>
        </is>
      </c>
      <c r="C656" t="inlineStr">
        <is>
          <t>$H$13</t>
        </is>
      </c>
      <c r="D656" t="inlineStr">
        <is>
          <t>output</t>
        </is>
      </c>
      <c r="E656" t="inlineStr">
        <is>
          <t>currency</t>
        </is>
      </c>
      <c r="F656">
        <f>out_acq_total_costs</f>
        <v/>
      </c>
      <c r="G656" t="inlineStr">
        <is>
          <t>Acquisition Costs</t>
        </is>
      </c>
      <c r="H656" s="95" t="inlineStr">
        <is>
          <t>'='Summary &amp; Assumptions'!$I$8+'Summary &amp; Assumptions'!$H$9+'Summary &amp; Assumptions'!$H$10+'Summary &amp; Assumptions'!$H$11+'Summary &amp; Assumptions'!$T$9+'Summary &amp; Assumptions'!$T$10+'Summary &amp; Assumptions'!$H$12</t>
        </is>
      </c>
    </row>
    <row r="657">
      <c r="A657" s="97" t="inlineStr">
        <is>
          <t>out_avg_coc</t>
        </is>
      </c>
      <c r="B657" t="inlineStr">
        <is>
          <t>Summary &amp; Assumptions</t>
        </is>
      </c>
      <c r="C657" t="inlineStr">
        <is>
          <t>$H$25</t>
        </is>
      </c>
      <c r="D657" t="inlineStr">
        <is>
          <t>output</t>
        </is>
      </c>
      <c r="E657" t="inlineStr">
        <is>
          <t>pct</t>
        </is>
      </c>
      <c r="F657">
        <f>out_avg_coc</f>
        <v/>
      </c>
      <c r="G657" t="inlineStr"/>
      <c r="H657" s="95" t="inlineStr">
        <is>
          <t>'=IF(OR('Summary &amp; Assumptions'!$H$6&lt;=0,'P&amp;L'!$Z$69&lt;=0),0,IFERROR(AVERAGE('CashFlow'!$F$44:$T$44),0))</t>
        </is>
      </c>
    </row>
    <row r="658">
      <c r="A658" s="97" t="inlineStr">
        <is>
          <t>out_breakeven_occ</t>
        </is>
      </c>
      <c r="B658" t="inlineStr">
        <is>
          <t>CashFlow</t>
        </is>
      </c>
      <c r="C658" t="inlineStr">
        <is>
          <t>$D$56</t>
        </is>
      </c>
      <c r="D658" t="inlineStr">
        <is>
          <t>output</t>
        </is>
      </c>
      <c r="E658" t="inlineStr">
        <is>
          <t>pct</t>
        </is>
      </c>
      <c r="F658">
        <f>out_breakeven_occ</f>
        <v/>
      </c>
      <c r="G658" t="inlineStr">
        <is>
          <t>break-even occupancy: (opex + debt service) / gross revenue</t>
        </is>
      </c>
      <c r="H658" s="95" t="inlineStr">
        <is>
          <t>'=IFERROR((-$F$21-$F$35)/($F$13+$F$18+$F$15),0)</t>
        </is>
      </c>
    </row>
    <row r="659">
      <c r="A659" s="97" t="inlineStr">
        <is>
          <t>out_capex_debt_funded</t>
        </is>
      </c>
      <c r="B659" t="inlineStr">
        <is>
          <t>Renovation</t>
        </is>
      </c>
      <c r="C659" t="inlineStr">
        <is>
          <t>$D$34</t>
        </is>
      </c>
      <c r="D659" t="inlineStr">
        <is>
          <t>output</t>
        </is>
      </c>
      <c r="E659" t="inlineStr">
        <is>
          <t>currency</t>
        </is>
      </c>
      <c r="F659">
        <f>out_capex_debt_funded</f>
        <v/>
      </c>
      <c r="G659" t="inlineStr">
        <is>
          <t>capex funded by all debt facilities</t>
        </is>
      </c>
      <c r="H659" s="95" t="inlineStr">
        <is>
          <t>'=MIN('Renovation'!$D$31,MIN('Renovation'!$D$32,'Renovation'!$D$31)+'Investor Waterfall'!$C$24+'Investor Waterfall'!$D$24+'Investor Waterfall'!$F$24+'Investor Waterfall'!$G$24+'Investor Waterfall'!$H$24)</t>
        </is>
      </c>
    </row>
    <row r="660">
      <c r="A660" s="97" t="inlineStr">
        <is>
          <t>out_capex_equity_funded</t>
        </is>
      </c>
      <c r="B660" t="inlineStr">
        <is>
          <t>Renovation</t>
        </is>
      </c>
      <c r="C660" t="inlineStr">
        <is>
          <t>$D$35</t>
        </is>
      </c>
      <c r="D660" t="inlineStr">
        <is>
          <t>output</t>
        </is>
      </c>
      <c r="E660" t="inlineStr">
        <is>
          <t>currency</t>
        </is>
      </c>
      <c r="F660">
        <f>out_capex_equity_funded</f>
        <v/>
      </c>
      <c r="G660" t="inlineStr"/>
      <c r="H660" s="95" t="inlineStr">
        <is>
          <t>'='Renovation'!$D$31-'Renovation'!$D$34</t>
        </is>
      </c>
    </row>
    <row r="661">
      <c r="A661" s="97" t="inlineStr">
        <is>
          <t>out_capex_total</t>
        </is>
      </c>
      <c r="B661" t="inlineStr">
        <is>
          <t>Renovation</t>
        </is>
      </c>
      <c r="C661" t="inlineStr">
        <is>
          <t>$D$31</t>
        </is>
      </c>
      <c r="D661" t="inlineStr">
        <is>
          <t>output</t>
        </is>
      </c>
      <c r="E661" t="inlineStr">
        <is>
          <t>currency</t>
        </is>
      </c>
      <c r="F661">
        <f>out_capex_total</f>
        <v/>
      </c>
      <c r="G661" t="inlineStr">
        <is>
          <t>total capital budget</t>
        </is>
      </c>
      <c r="H661" s="95" t="inlineStr">
        <is>
          <t>'='Renovation'!$F$16+'Renovation'!$C$28</t>
        </is>
      </c>
    </row>
    <row r="662">
      <c r="A662" s="97" t="inlineStr">
        <is>
          <t>out_deal_cap_in</t>
        </is>
      </c>
      <c r="B662" t="inlineStr">
        <is>
          <t>Summary &amp; Assumptions</t>
        </is>
      </c>
      <c r="C662" t="inlineStr">
        <is>
          <t>$H$7</t>
        </is>
      </c>
      <c r="D662" t="inlineStr">
        <is>
          <t>output</t>
        </is>
      </c>
      <c r="E662" t="inlineStr">
        <is>
          <t>pct</t>
        </is>
      </c>
      <c r="F662">
        <f>out_deal_cap_in</f>
        <v/>
      </c>
      <c r="G662" t="inlineStr">
        <is>
          <t>Going-in Cap Rate (Selected NOI)</t>
        </is>
      </c>
      <c r="H662" s="95" t="inlineStr">
        <is>
          <t>'=IFERROR(CashFlow!$D$57,0)</t>
        </is>
      </c>
    </row>
    <row r="663">
      <c r="A663" s="97" t="inlineStr">
        <is>
          <t>out_deal_exit_date</t>
        </is>
      </c>
      <c r="B663" t="inlineStr">
        <is>
          <t>Summary &amp; Assumptions</t>
        </is>
      </c>
      <c r="C663" t="inlineStr">
        <is>
          <t>$C$24</t>
        </is>
      </c>
      <c r="D663" t="inlineStr">
        <is>
          <t>output</t>
        </is>
      </c>
      <c r="E663" t="inlineStr">
        <is>
          <t>date</t>
        </is>
      </c>
      <c r="F663">
        <f>out_deal_exit_date</f>
        <v/>
      </c>
      <c r="G663" t="inlineStr">
        <is>
          <t>Exit Date</t>
        </is>
      </c>
      <c r="H663" s="95" t="inlineStr">
        <is>
          <t>'=EDATE('Summary &amp; Assumptions'!$C$22,'Summary &amp; Assumptions'!$C$23*12)-1</t>
        </is>
      </c>
    </row>
    <row r="664">
      <c r="A664" s="97" t="inlineStr">
        <is>
          <t>out_deal_start_date</t>
        </is>
      </c>
      <c r="B664" t="inlineStr">
        <is>
          <t>Summary &amp; Assumptions</t>
        </is>
      </c>
      <c r="C664" t="inlineStr">
        <is>
          <t>$C$22</t>
        </is>
      </c>
      <c r="D664" t="inlineStr">
        <is>
          <t>output</t>
        </is>
      </c>
      <c r="E664" t="inlineStr">
        <is>
          <t>date</t>
        </is>
      </c>
      <c r="F664">
        <f>out_deal_start_date</f>
        <v/>
      </c>
      <c r="G664" t="inlineStr">
        <is>
          <t>Analysis Start Date</t>
        </is>
      </c>
      <c r="H664" s="95" t="inlineStr">
        <is>
          <t>'=EOMONTH(TODAY(),'Summary &amp; Assumptions'!$C$21)+1</t>
        </is>
      </c>
    </row>
    <row r="665">
      <c r="A665" s="97" t="inlineStr">
        <is>
          <t>out_debt_c1_amount</t>
        </is>
      </c>
      <c r="B665" t="inlineStr">
        <is>
          <t>Summary &amp; Assumptions</t>
        </is>
      </c>
      <c r="C665" t="inlineStr">
        <is>
          <t>$F$34</t>
        </is>
      </c>
      <c r="D665" t="inlineStr">
        <is>
          <t>output</t>
        </is>
      </c>
      <c r="E665" t="inlineStr">
        <is>
          <t>currency</t>
        </is>
      </c>
      <c r="F665">
        <f>out_debt_c1_amount</f>
        <v/>
      </c>
      <c r="G665" t="inlineStr">
        <is>
          <t>Assumed Loan resolved loan amount (sizing engine, v46)</t>
        </is>
      </c>
      <c r="H665" s="95" t="inlineStr">
        <is>
          <t>'=MAX(0,IF(F31&lt;&gt;"Yes",0,IF(F32="Loan Amount",N(F33),IF(F32="LTV",F35*'Summary &amp; Assumptions'!$H$6,IFERROR(CashFlow!$F$24/(F36*IF(F47&gt;=1,F40,-PMT(F40/12,F48*12,1)*12)),0)))))</t>
        </is>
      </c>
    </row>
    <row r="666">
      <c r="A666" s="97" t="inlineStr">
        <is>
          <t>out_debt_c1_const</t>
        </is>
      </c>
      <c r="B666" t="inlineStr">
        <is>
          <t>Debt</t>
        </is>
      </c>
      <c r="C666" t="inlineStr">
        <is>
          <t>$V$9</t>
        </is>
      </c>
      <c r="D666" t="inlineStr">
        <is>
          <t>output</t>
        </is>
      </c>
      <c r="E666" t="inlineStr">
        <is>
          <t>pct</t>
        </is>
      </c>
      <c r="F666">
        <f>out_debt_c1_const</f>
        <v/>
      </c>
      <c r="G666" t="inlineStr">
        <is>
          <t>Assumed Loan annual payment constant</t>
        </is>
      </c>
      <c r="H666" s="95" t="inlineStr">
        <is>
          <t>'=IFERROR(IF('Summary &amp; Assumptions'!$F$47&gt;=1,'Summary &amp; Assumptions'!$F$40,-PMT('Summary &amp; Assumptions'!$F$40/12,'Summary &amp; Assumptions'!$F$48*12,1)*12),0)</t>
        </is>
      </c>
    </row>
    <row r="667">
      <c r="A667" s="97" t="inlineStr">
        <is>
          <t>out_debt_c1_payoff</t>
        </is>
      </c>
      <c r="B667" t="inlineStr">
        <is>
          <t>Debt</t>
        </is>
      </c>
      <c r="C667" t="inlineStr">
        <is>
          <t>$K$9</t>
        </is>
      </c>
      <c r="D667" t="inlineStr">
        <is>
          <t>output</t>
        </is>
      </c>
      <c r="E667" t="inlineStr">
        <is>
          <t>int</t>
        </is>
      </c>
      <c r="F667">
        <f>out_debt_c1_payoff</f>
        <v/>
      </c>
      <c r="G667" t="inlineStr">
        <is>
          <t>Assumed Loan payoff year (= exit)</t>
        </is>
      </c>
      <c r="H667" s="95" t="inlineStr">
        <is>
          <t>'='Summary &amp; Assumptions'!$C$23</t>
        </is>
      </c>
    </row>
    <row r="668">
      <c r="A668" s="97" t="inlineStr">
        <is>
          <t>out_debt_c1_start</t>
        </is>
      </c>
      <c r="B668" t="inlineStr">
        <is>
          <t>Debt</t>
        </is>
      </c>
      <c r="C668" t="inlineStr">
        <is>
          <t>$J$9</t>
        </is>
      </c>
      <c r="D668" t="inlineStr">
        <is>
          <t>output</t>
        </is>
      </c>
      <c r="E668" t="inlineStr">
        <is>
          <t>int</t>
        </is>
      </c>
      <c r="F668">
        <f>out_debt_c1_start</f>
        <v/>
      </c>
      <c r="G668" t="inlineStr">
        <is>
          <t>Assumed Loan start year (display; v46 draws in Year 1)</t>
        </is>
      </c>
      <c r="H668" s="95" t="inlineStr">
        <is>
          <t>'='Summary &amp; Assumptions'!$F$37</t>
        </is>
      </c>
    </row>
    <row r="669">
      <c r="A669" s="97" t="inlineStr">
        <is>
          <t>out_debt_c2_amount</t>
        </is>
      </c>
      <c r="B669" t="inlineStr">
        <is>
          <t>Summary &amp; Assumptions</t>
        </is>
      </c>
      <c r="C669" t="inlineStr">
        <is>
          <t>$G$34</t>
        </is>
      </c>
      <c r="D669" t="inlineStr">
        <is>
          <t>output</t>
        </is>
      </c>
      <c r="E669" t="inlineStr">
        <is>
          <t>currency</t>
        </is>
      </c>
      <c r="F669">
        <f>out_debt_c2_amount</f>
        <v/>
      </c>
      <c r="G669" t="inlineStr">
        <is>
          <t>Custom 1 resolved loan amount (sizing engine, v46)</t>
        </is>
      </c>
      <c r="H669" s="95" t="inlineStr">
        <is>
          <t>'=MAX(0,IF(G31&lt;&gt;"Yes",0,IF(G32="Loan Amount",N(G33),IF(G32="LTV",G35*'Summary &amp; Assumptions'!$H$6,IFERROR(CashFlow!$F$24/(G36*IF(G47&gt;=1,G40,-PMT(G40/12,G48*12,1)*12)),0)))))</t>
        </is>
      </c>
    </row>
    <row r="670">
      <c r="A670" s="97" t="inlineStr">
        <is>
          <t>out_debt_c2_const</t>
        </is>
      </c>
      <c r="B670" t="inlineStr">
        <is>
          <t>Debt</t>
        </is>
      </c>
      <c r="C670" t="inlineStr">
        <is>
          <t>$V$10</t>
        </is>
      </c>
      <c r="D670" t="inlineStr">
        <is>
          <t>output</t>
        </is>
      </c>
      <c r="E670" t="inlineStr">
        <is>
          <t>pct</t>
        </is>
      </c>
      <c r="F670">
        <f>out_debt_c2_const</f>
        <v/>
      </c>
      <c r="G670" t="inlineStr">
        <is>
          <t>Custom 1 annual payment constant</t>
        </is>
      </c>
      <c r="H670" s="95" t="inlineStr">
        <is>
          <t>'=IFERROR(IF('Summary &amp; Assumptions'!$G$47&gt;=1,'Summary &amp; Assumptions'!$G$40,-PMT('Summary &amp; Assumptions'!$G$40/12,'Summary &amp; Assumptions'!$G$48*12,1)*12),0)</t>
        </is>
      </c>
    </row>
    <row r="671">
      <c r="A671" s="97" t="inlineStr">
        <is>
          <t>out_debt_c2_payoff</t>
        </is>
      </c>
      <c r="B671" t="inlineStr">
        <is>
          <t>Debt</t>
        </is>
      </c>
      <c r="C671" t="inlineStr">
        <is>
          <t>$K$10</t>
        </is>
      </c>
      <c r="D671" t="inlineStr">
        <is>
          <t>output</t>
        </is>
      </c>
      <c r="E671" t="inlineStr">
        <is>
          <t>int</t>
        </is>
      </c>
      <c r="F671">
        <f>out_debt_c2_payoff</f>
        <v/>
      </c>
      <c r="G671" t="inlineStr">
        <is>
          <t>Custom 1 payoff year (= exit)</t>
        </is>
      </c>
      <c r="H671" s="95" t="inlineStr">
        <is>
          <t>'='Summary &amp; Assumptions'!$C$23</t>
        </is>
      </c>
    </row>
    <row r="672">
      <c r="A672" s="97" t="inlineStr">
        <is>
          <t>out_debt_c2_start</t>
        </is>
      </c>
      <c r="B672" t="inlineStr">
        <is>
          <t>Debt</t>
        </is>
      </c>
      <c r="C672" t="inlineStr">
        <is>
          <t>$J$10</t>
        </is>
      </c>
      <c r="D672" t="inlineStr">
        <is>
          <t>output</t>
        </is>
      </c>
      <c r="E672" t="inlineStr">
        <is>
          <t>int</t>
        </is>
      </c>
      <c r="F672">
        <f>out_debt_c2_start</f>
        <v/>
      </c>
      <c r="G672" t="inlineStr">
        <is>
          <t>Custom 1 start year (display; v46 draws in Year 1)</t>
        </is>
      </c>
      <c r="H672" s="95" t="inlineStr">
        <is>
          <t>'='Summary &amp; Assumptions'!$G$37</t>
        </is>
      </c>
    </row>
    <row r="673">
      <c r="A673" s="97" t="inlineStr">
        <is>
          <t>out_debt_c3_amount</t>
        </is>
      </c>
      <c r="B673" t="inlineStr">
        <is>
          <t>Summary &amp; Assumptions</t>
        </is>
      </c>
      <c r="C673" t="inlineStr">
        <is>
          <t>$H$34</t>
        </is>
      </c>
      <c r="D673" t="inlineStr">
        <is>
          <t>output</t>
        </is>
      </c>
      <c r="E673" t="inlineStr">
        <is>
          <t>currency</t>
        </is>
      </c>
      <c r="F673">
        <f>out_debt_c3_amount</f>
        <v/>
      </c>
      <c r="G673" t="inlineStr">
        <is>
          <t>Custom 2 resolved loan amount (sizing engine, v46)</t>
        </is>
      </c>
      <c r="H673" s="95" t="inlineStr">
        <is>
          <t>'=MAX(0,IF(H31&lt;&gt;"Yes",0,IF(H32="Loan Amount",N(H33),IF(H32="LTV",H35*'Summary &amp; Assumptions'!$H$6,IFERROR(CashFlow!$F$24/(H36*IF(H47&gt;=1,H40,-PMT(H40/12,H48*12,1)*12)),0)))))</t>
        </is>
      </c>
    </row>
    <row r="674">
      <c r="A674" s="97" t="inlineStr">
        <is>
          <t>out_debt_c3_const</t>
        </is>
      </c>
      <c r="B674" t="inlineStr">
        <is>
          <t>Debt</t>
        </is>
      </c>
      <c r="C674" t="inlineStr">
        <is>
          <t>$V$11</t>
        </is>
      </c>
      <c r="D674" t="inlineStr">
        <is>
          <t>output</t>
        </is>
      </c>
      <c r="E674" t="inlineStr">
        <is>
          <t>pct</t>
        </is>
      </c>
      <c r="F674">
        <f>out_debt_c3_const</f>
        <v/>
      </c>
      <c r="G674" t="inlineStr">
        <is>
          <t>Custom 2 annual payment constant</t>
        </is>
      </c>
      <c r="H674" s="95" t="inlineStr">
        <is>
          <t>'=IFERROR(IF('Summary &amp; Assumptions'!$H$47&gt;=1,'Summary &amp; Assumptions'!$H$40,-PMT('Summary &amp; Assumptions'!$H$40/12,'Summary &amp; Assumptions'!$H$48*12,1)*12),0)</t>
        </is>
      </c>
    </row>
    <row r="675">
      <c r="A675" s="97" t="inlineStr">
        <is>
          <t>out_debt_c3_payoff</t>
        </is>
      </c>
      <c r="B675" t="inlineStr">
        <is>
          <t>Debt</t>
        </is>
      </c>
      <c r="C675" t="inlineStr">
        <is>
          <t>$K$11</t>
        </is>
      </c>
      <c r="D675" t="inlineStr">
        <is>
          <t>output</t>
        </is>
      </c>
      <c r="E675" t="inlineStr">
        <is>
          <t>int</t>
        </is>
      </c>
      <c r="F675">
        <f>out_debt_c3_payoff</f>
        <v/>
      </c>
      <c r="G675" t="inlineStr">
        <is>
          <t>Custom 2 payoff year (= exit)</t>
        </is>
      </c>
      <c r="H675" s="95" t="inlineStr">
        <is>
          <t>'='Summary &amp; Assumptions'!$C$23</t>
        </is>
      </c>
    </row>
    <row r="676">
      <c r="A676" s="97" t="inlineStr">
        <is>
          <t>out_debt_c3_start</t>
        </is>
      </c>
      <c r="B676" t="inlineStr">
        <is>
          <t>Debt</t>
        </is>
      </c>
      <c r="C676" t="inlineStr">
        <is>
          <t>$J$11</t>
        </is>
      </c>
      <c r="D676" t="inlineStr">
        <is>
          <t>output</t>
        </is>
      </c>
      <c r="E676" t="inlineStr">
        <is>
          <t>int</t>
        </is>
      </c>
      <c r="F676">
        <f>out_debt_c3_start</f>
        <v/>
      </c>
      <c r="G676" t="inlineStr">
        <is>
          <t>Custom 2 start year (display; v46 draws in Year 1)</t>
        </is>
      </c>
      <c r="H676" s="95" t="inlineStr">
        <is>
          <t>'='Summary &amp; Assumptions'!$H$37</t>
        </is>
      </c>
    </row>
    <row r="677">
      <c r="A677" s="97" t="inlineStr">
        <is>
          <t>out_debt_mezz_amount</t>
        </is>
      </c>
      <c r="B677" t="inlineStr">
        <is>
          <t>Summary &amp; Assumptions</t>
        </is>
      </c>
      <c r="C677" t="inlineStr">
        <is>
          <t>$D$34</t>
        </is>
      </c>
      <c r="D677" t="inlineStr">
        <is>
          <t>output</t>
        </is>
      </c>
      <c r="E677" t="inlineStr">
        <is>
          <t>currency</t>
        </is>
      </c>
      <c r="F677">
        <f>out_debt_mezz_amount</f>
        <v/>
      </c>
      <c r="G677" t="inlineStr">
        <is>
          <t>Mezz resolved loan amount (sizing engine, v46)</t>
        </is>
      </c>
      <c r="H677" s="95" t="inlineStr">
        <is>
          <t>'=MAX(0,IF(D31&lt;&gt;"Yes",0,IF(D32="Loan Amount",N(D33),IF(D32="LTV",D35*'Summary &amp; Assumptions'!$H$6,IFERROR(CashFlow!$F$24/(D36*IF(D47&gt;=1,D40,-PMT(D40/12,D48*12,1)*12)),0)))))</t>
        </is>
      </c>
    </row>
    <row r="678">
      <c r="A678" s="97" t="inlineStr">
        <is>
          <t>out_debt_mezz_const</t>
        </is>
      </c>
      <c r="B678" t="inlineStr">
        <is>
          <t>Debt</t>
        </is>
      </c>
      <c r="C678" t="inlineStr">
        <is>
          <t>$V$7</t>
        </is>
      </c>
      <c r="D678" t="inlineStr">
        <is>
          <t>output</t>
        </is>
      </c>
      <c r="E678" t="inlineStr">
        <is>
          <t>pct</t>
        </is>
      </c>
      <c r="F678">
        <f>out_debt_mezz_const</f>
        <v/>
      </c>
      <c r="G678" t="inlineStr">
        <is>
          <t>Mezz annual payment constant</t>
        </is>
      </c>
      <c r="H678" s="95" t="inlineStr">
        <is>
          <t>'=IFERROR(IF('Summary &amp; Assumptions'!$D$47&gt;=1,'Summary &amp; Assumptions'!$D$40,-PMT('Summary &amp; Assumptions'!$D$40/12,'Summary &amp; Assumptions'!$D$48*12,1)*12),0)</t>
        </is>
      </c>
    </row>
    <row r="679">
      <c r="A679" s="97" t="inlineStr">
        <is>
          <t>out_debt_mezz_payoff</t>
        </is>
      </c>
      <c r="B679" t="inlineStr">
        <is>
          <t>Debt</t>
        </is>
      </c>
      <c r="C679" t="inlineStr">
        <is>
          <t>$K$7</t>
        </is>
      </c>
      <c r="D679" t="inlineStr">
        <is>
          <t>output</t>
        </is>
      </c>
      <c r="E679" t="inlineStr">
        <is>
          <t>int</t>
        </is>
      </c>
      <c r="F679">
        <f>out_debt_mezz_payoff</f>
        <v/>
      </c>
      <c r="G679" t="inlineStr">
        <is>
          <t>Mezz payoff year (= exit)</t>
        </is>
      </c>
      <c r="H679" s="95" t="inlineStr">
        <is>
          <t>'='Summary &amp; Assumptions'!$C$23</t>
        </is>
      </c>
    </row>
    <row r="680">
      <c r="A680" s="97" t="inlineStr">
        <is>
          <t>out_debt_mezz_start</t>
        </is>
      </c>
      <c r="B680" t="inlineStr">
        <is>
          <t>Debt</t>
        </is>
      </c>
      <c r="C680" t="inlineStr">
        <is>
          <t>$J$7</t>
        </is>
      </c>
      <c r="D680" t="inlineStr">
        <is>
          <t>output</t>
        </is>
      </c>
      <c r="E680" t="inlineStr">
        <is>
          <t>int</t>
        </is>
      </c>
      <c r="F680">
        <f>out_debt_mezz_start</f>
        <v/>
      </c>
      <c r="G680" t="inlineStr">
        <is>
          <t>Mezz start year (display; v46 draws in Year 1)</t>
        </is>
      </c>
      <c r="H680" s="95" t="inlineStr">
        <is>
          <t>'='Summary &amp; Assumptions'!$D$37</t>
        </is>
      </c>
    </row>
    <row r="681">
      <c r="A681" s="97" t="inlineStr">
        <is>
          <t>out_debt_refi_amount</t>
        </is>
      </c>
      <c r="B681" t="inlineStr">
        <is>
          <t>Summary &amp; Assumptions</t>
        </is>
      </c>
      <c r="C681" t="inlineStr">
        <is>
          <t>$E$34</t>
        </is>
      </c>
      <c r="D681" t="inlineStr">
        <is>
          <t>output</t>
        </is>
      </c>
      <c r="E681" t="inlineStr">
        <is>
          <t>currency</t>
        </is>
      </c>
      <c r="F681">
        <f>out_debt_refi_amount</f>
        <v/>
      </c>
      <c r="G681" t="inlineStr">
        <is>
          <t>Refi resolved loan amount (sizing engine, v46)</t>
        </is>
      </c>
      <c r="H681" s="95" t="inlineStr">
        <is>
          <t>'=MAX(0,IF(E31&lt;&gt;"Yes",0,IF(E32="Loan Amount",N(E33),IF(E32="LTV",E35*'Summary &amp; Assumptions'!$H$6,IFERROR(CashFlow!$F$24/(E36*IF(E47&gt;=1,E40,-PMT(E40/12,E48*12,1)*12)),0)))))</t>
        </is>
      </c>
    </row>
    <row r="682">
      <c r="A682" s="97" t="inlineStr">
        <is>
          <t>out_debt_refi_const</t>
        </is>
      </c>
      <c r="B682" t="inlineStr">
        <is>
          <t>Debt</t>
        </is>
      </c>
      <c r="C682" t="inlineStr">
        <is>
          <t>$V$8</t>
        </is>
      </c>
      <c r="D682" t="inlineStr">
        <is>
          <t>output</t>
        </is>
      </c>
      <c r="E682" t="inlineStr">
        <is>
          <t>pct</t>
        </is>
      </c>
      <c r="F682">
        <f>out_debt_refi_const</f>
        <v/>
      </c>
      <c r="G682" t="inlineStr">
        <is>
          <t>Refi annual payment constant</t>
        </is>
      </c>
      <c r="H682" s="95" t="inlineStr">
        <is>
          <t>'=IFERROR(IF('Summary &amp; Assumptions'!$E$47&gt;=1,'Summary &amp; Assumptions'!$E$40,-PMT('Summary &amp; Assumptions'!$E$40/12,'Summary &amp; Assumptions'!$E$48*12,1)*12),0)</t>
        </is>
      </c>
    </row>
    <row r="683">
      <c r="A683" s="97" t="inlineStr">
        <is>
          <t>out_debt_refi_payoff</t>
        </is>
      </c>
      <c r="B683" t="inlineStr">
        <is>
          <t>Debt</t>
        </is>
      </c>
      <c r="C683" t="inlineStr">
        <is>
          <t>$K$8</t>
        </is>
      </c>
      <c r="D683" t="inlineStr">
        <is>
          <t>output</t>
        </is>
      </c>
      <c r="E683" t="inlineStr">
        <is>
          <t>int</t>
        </is>
      </c>
      <c r="F683">
        <f>out_debt_refi_payoff</f>
        <v/>
      </c>
      <c r="G683" t="inlineStr">
        <is>
          <t>Refi payoff year (= exit)</t>
        </is>
      </c>
      <c r="H683" s="95" t="inlineStr">
        <is>
          <t>'='Summary &amp; Assumptions'!$C$23</t>
        </is>
      </c>
    </row>
    <row r="684">
      <c r="A684" s="97" t="inlineStr">
        <is>
          <t>out_debt_refi_start</t>
        </is>
      </c>
      <c r="B684" t="inlineStr">
        <is>
          <t>Debt</t>
        </is>
      </c>
      <c r="C684" t="inlineStr">
        <is>
          <t>$J$8</t>
        </is>
      </c>
      <c r="D684" t="inlineStr">
        <is>
          <t>output</t>
        </is>
      </c>
      <c r="E684" t="inlineStr">
        <is>
          <t>int</t>
        </is>
      </c>
      <c r="F684">
        <f>out_debt_refi_start</f>
        <v/>
      </c>
      <c r="G684" t="inlineStr">
        <is>
          <t>Refi start year (display; v46 draws in Year 1)</t>
        </is>
      </c>
      <c r="H684" s="95" t="inlineStr">
        <is>
          <t>'='Summary &amp; Assumptions'!$E$37</t>
        </is>
      </c>
    </row>
    <row r="685">
      <c r="A685" s="97" t="inlineStr">
        <is>
          <t>out_debt_renoloc_amount</t>
        </is>
      </c>
      <c r="B685" t="inlineStr">
        <is>
          <t>Debt</t>
        </is>
      </c>
      <c r="C685" t="inlineStr">
        <is>
          <t>$D$12</t>
        </is>
      </c>
      <c r="D685" t="inlineStr">
        <is>
          <t>output</t>
        </is>
      </c>
      <c r="E685" t="inlineStr">
        <is>
          <t>currency</t>
        </is>
      </c>
      <c r="F685">
        <f>out_debt_renoloc_amount</f>
        <v/>
      </c>
      <c r="G685" t="inlineStr">
        <is>
          <t>reno LOC (not modeled in v46 — always 0)</t>
        </is>
      </c>
    </row>
    <row r="686">
      <c r="A686" s="97" t="inlineStr">
        <is>
          <t>out_debt_renoloc_payoff</t>
        </is>
      </c>
      <c r="B686" t="inlineStr">
        <is>
          <t>Debt</t>
        </is>
      </c>
      <c r="C686" t="inlineStr">
        <is>
          <t>$K$12</t>
        </is>
      </c>
      <c r="D686" t="inlineStr">
        <is>
          <t>output</t>
        </is>
      </c>
      <c r="E686" t="inlineStr">
        <is>
          <t>int</t>
        </is>
      </c>
      <c r="F686">
        <f>out_debt_renoloc_payoff</f>
        <v/>
      </c>
      <c r="G686" t="inlineStr"/>
    </row>
    <row r="687">
      <c r="A687" s="97" t="inlineStr">
        <is>
          <t>out_debt_renoloc_start</t>
        </is>
      </c>
      <c r="B687" t="inlineStr">
        <is>
          <t>Debt</t>
        </is>
      </c>
      <c r="C687" t="inlineStr">
        <is>
          <t>$J$12</t>
        </is>
      </c>
      <c r="D687" t="inlineStr">
        <is>
          <t>output</t>
        </is>
      </c>
      <c r="E687" t="inlineStr">
        <is>
          <t>int</t>
        </is>
      </c>
      <c r="F687">
        <f>out_debt_renoloc_start</f>
        <v/>
      </c>
      <c r="G687" t="inlineStr"/>
    </row>
    <row r="688">
      <c r="A688" s="97" t="inlineStr">
        <is>
          <t>out_debt_senior_amount</t>
        </is>
      </c>
      <c r="B688" t="inlineStr">
        <is>
          <t>Summary &amp; Assumptions</t>
        </is>
      </c>
      <c r="C688" t="inlineStr">
        <is>
          <t>$C$34</t>
        </is>
      </c>
      <c r="D688" t="inlineStr">
        <is>
          <t>output</t>
        </is>
      </c>
      <c r="E688" t="inlineStr">
        <is>
          <t>currency</t>
        </is>
      </c>
      <c r="F688">
        <f>out_debt_senior_amount</f>
        <v/>
      </c>
      <c r="G688" t="inlineStr">
        <is>
          <t>Senior resolved loan amount (sizing engine, v46)</t>
        </is>
      </c>
      <c r="H688" s="95" t="inlineStr">
        <is>
          <t>'=MAX(0,IF(C31&lt;&gt;"Yes",0,IF(C32="Loan Amount",N(C33),IF(C32="LTV",C35*'Summary &amp; Assumptions'!$H$6,IFERROR(CashFlow!$F$24/(C36*IF(C47&gt;=1,C40,-PMT(C40/12,C48*12,1)*12)),0)))))</t>
        </is>
      </c>
    </row>
    <row r="689">
      <c r="A689" s="97" t="inlineStr">
        <is>
          <t>out_debt_senior_const</t>
        </is>
      </c>
      <c r="B689" t="inlineStr">
        <is>
          <t>Debt</t>
        </is>
      </c>
      <c r="C689" t="inlineStr">
        <is>
          <t>$V$6</t>
        </is>
      </c>
      <c r="D689" t="inlineStr">
        <is>
          <t>output</t>
        </is>
      </c>
      <c r="E689" t="inlineStr">
        <is>
          <t>pct</t>
        </is>
      </c>
      <c r="F689">
        <f>out_debt_senior_const</f>
        <v/>
      </c>
      <c r="G689" t="inlineStr">
        <is>
          <t>Senior annual payment constant</t>
        </is>
      </c>
      <c r="H689" s="95" t="inlineStr">
        <is>
          <t>'=IFERROR(IF('Summary &amp; Assumptions'!$C$47&gt;=1,'Summary &amp; Assumptions'!$C$40,-PMT('Summary &amp; Assumptions'!$C$40/12,'Summary &amp; Assumptions'!$C$48*12,1)*12),0)</t>
        </is>
      </c>
    </row>
    <row r="690">
      <c r="A690" s="97" t="inlineStr">
        <is>
          <t>out_debt_senior_payoff</t>
        </is>
      </c>
      <c r="B690" t="inlineStr">
        <is>
          <t>Debt</t>
        </is>
      </c>
      <c r="C690" t="inlineStr">
        <is>
          <t>$K$6</t>
        </is>
      </c>
      <c r="D690" t="inlineStr">
        <is>
          <t>output</t>
        </is>
      </c>
      <c r="E690" t="inlineStr">
        <is>
          <t>int</t>
        </is>
      </c>
      <c r="F690">
        <f>out_debt_senior_payoff</f>
        <v/>
      </c>
      <c r="G690" t="inlineStr">
        <is>
          <t>Senior payoff year (= exit)</t>
        </is>
      </c>
      <c r="H690" s="95" t="inlineStr">
        <is>
          <t>'='Summary &amp; Assumptions'!$C$23</t>
        </is>
      </c>
    </row>
    <row r="691">
      <c r="A691" s="97" t="inlineStr">
        <is>
          <t>out_debt_senior_start</t>
        </is>
      </c>
      <c r="B691" t="inlineStr">
        <is>
          <t>Debt</t>
        </is>
      </c>
      <c r="C691" t="inlineStr">
        <is>
          <t>$J$6</t>
        </is>
      </c>
      <c r="D691" t="inlineStr">
        <is>
          <t>output</t>
        </is>
      </c>
      <c r="E691" t="inlineStr">
        <is>
          <t>int</t>
        </is>
      </c>
      <c r="F691">
        <f>out_debt_senior_start</f>
        <v/>
      </c>
      <c r="G691" t="inlineStr">
        <is>
          <t>Senior start year (display; v46 draws in Year 1)</t>
        </is>
      </c>
      <c r="H691" s="95" t="inlineStr">
        <is>
          <t>'='Summary &amp; Assumptions'!$C$37</t>
        </is>
      </c>
    </row>
    <row r="692">
      <c r="A692" s="97" t="inlineStr">
        <is>
          <t>out_debt_total_close_fees</t>
        </is>
      </c>
      <c r="B692" t="inlineStr">
        <is>
          <t>Summary &amp; Assumptions</t>
        </is>
      </c>
      <c r="C692" t="inlineStr">
        <is>
          <t>$H$68</t>
        </is>
      </c>
      <c r="D692" t="inlineStr">
        <is>
          <t>output</t>
        </is>
      </c>
      <c r="E692" t="inlineStr">
        <is>
          <t>currency</t>
        </is>
      </c>
      <c r="F692">
        <f>out_debt_total_close_fees</f>
        <v/>
      </c>
      <c r="G692" t="inlineStr">
        <is>
          <t>Loan Origination Fees</t>
        </is>
      </c>
      <c r="H692" s="95" t="inlineStr">
        <is>
          <t>'='Summary &amp; Assumptions'!$C$49*'Summary &amp; Assumptions'!$C$34</t>
        </is>
      </c>
    </row>
    <row r="693">
      <c r="A693" s="97" t="inlineStr">
        <is>
          <t>out_exit_net_sale</t>
        </is>
      </c>
      <c r="B693" t="inlineStr">
        <is>
          <t>CashFlow</t>
        </is>
      </c>
      <c r="C693" t="inlineStr">
        <is>
          <t>$D$63</t>
        </is>
      </c>
      <c r="D693" t="inlineStr">
        <is>
          <t>output</t>
        </is>
      </c>
      <c r="E693" t="inlineStr">
        <is>
          <t>currency</t>
        </is>
      </c>
      <c r="F693">
        <f>out_exit_net_sale</f>
        <v/>
      </c>
      <c r="G693" t="inlineStr">
        <is>
          <t>gross exit less selling/transfer/broker costs</t>
        </is>
      </c>
      <c r="H693" s="95" t="inlineStr">
        <is>
          <t>'=SUM(F30:T30)</t>
        </is>
      </c>
    </row>
    <row r="694">
      <c r="A694" s="97" t="inlineStr">
        <is>
          <t>out_exit_noi_basis</t>
        </is>
      </c>
      <c r="B694" t="inlineStr">
        <is>
          <t>Summary &amp; Assumptions</t>
        </is>
      </c>
      <c r="C694" t="inlineStr">
        <is>
          <t>$M$7</t>
        </is>
      </c>
      <c r="D694" t="inlineStr">
        <is>
          <t>output</t>
        </is>
      </c>
      <c r="E694" t="inlineStr">
        <is>
          <t>currency</t>
        </is>
      </c>
      <c r="F694">
        <f>out_exit_noi_basis</f>
        <v/>
      </c>
      <c r="G694" t="inlineStr">
        <is>
          <t>Exit Year NOI (per basis)</t>
        </is>
      </c>
      <c r="H694" s="95" t="inlineStr">
        <is>
          <t>'=IF('Summary &amp; Assumptions'!$M$6="Forward NOI",'CashFlow'!$D$61,'CashFlow'!$D$62)</t>
        </is>
      </c>
    </row>
    <row r="695">
      <c r="A695" s="97" t="inlineStr">
        <is>
          <t>out_exit_noi_fwd</t>
        </is>
      </c>
      <c r="B695" t="inlineStr">
        <is>
          <t>CashFlow</t>
        </is>
      </c>
      <c r="C695" t="inlineStr">
        <is>
          <t>$D$61</t>
        </is>
      </c>
      <c r="D695" t="inlineStr">
        <is>
          <t>output</t>
        </is>
      </c>
      <c r="E695" t="inlineStr">
        <is>
          <t>currency</t>
        </is>
      </c>
      <c r="F695">
        <f>out_exit_noi_fwd</f>
        <v/>
      </c>
      <c r="G695" t="inlineStr">
        <is>
          <t>NOI for the year after exit (forward basis)</t>
        </is>
      </c>
      <c r="H695" s="95" t="inlineStr">
        <is>
          <t>'=IFERROR(INDEX($F$23:$T$23,1,MIN('Summary &amp; Assumptions'!$C$23+1,15)),0)</t>
        </is>
      </c>
    </row>
    <row r="696">
      <c r="A696" s="97" t="inlineStr">
        <is>
          <t>out_exit_noi_trailing</t>
        </is>
      </c>
      <c r="B696" t="inlineStr">
        <is>
          <t>CashFlow</t>
        </is>
      </c>
      <c r="C696" t="inlineStr">
        <is>
          <t>$D$62</t>
        </is>
      </c>
      <c r="D696" t="inlineStr">
        <is>
          <t>output</t>
        </is>
      </c>
      <c r="E696" t="inlineStr">
        <is>
          <t>currency</t>
        </is>
      </c>
      <c r="F696">
        <f>out_exit_noi_trailing</f>
        <v/>
      </c>
      <c r="G696" t="inlineStr">
        <is>
          <t>NOI for the exit year (trailing basis)</t>
        </is>
      </c>
      <c r="H696" s="95" t="inlineStr">
        <is>
          <t>'=IFERROR(INDEX($F$23:$T$23,1,MAX(1,MIN('Summary &amp; Assumptions'!$C$23,15))),0)</t>
        </is>
      </c>
    </row>
    <row r="697">
      <c r="A697" s="97" t="inlineStr">
        <is>
          <t>out_exit_price</t>
        </is>
      </c>
      <c r="B697" t="inlineStr">
        <is>
          <t>Summary &amp; Assumptions</t>
        </is>
      </c>
      <c r="C697" t="inlineStr">
        <is>
          <t>$N$8</t>
        </is>
      </c>
      <c r="D697" t="inlineStr">
        <is>
          <t>output</t>
        </is>
      </c>
      <c r="E697" t="inlineStr">
        <is>
          <t>currency</t>
        </is>
      </c>
      <c r="F697">
        <f>out_exit_price</f>
        <v/>
      </c>
      <c r="G697" t="inlineStr">
        <is>
          <t>gross exit price (exit-year NOI / exit cap)</t>
        </is>
      </c>
      <c r="H697" s="95" t="inlineStr">
        <is>
          <t>'=IFERROR('Summary &amp; Assumptions'!$M$7/'Summary &amp; Assumptions'!$M$8,0)</t>
        </is>
      </c>
    </row>
    <row r="698">
      <c r="A698" s="97" t="inlineStr">
        <is>
          <t>out_fee_drag</t>
        </is>
      </c>
      <c r="B698" t="inlineStr">
        <is>
          <t>Investor Waterfall</t>
        </is>
      </c>
      <c r="C698" t="inlineStr">
        <is>
          <t>$I$48</t>
        </is>
      </c>
      <c r="D698" t="inlineStr">
        <is>
          <t>output</t>
        </is>
      </c>
      <c r="E698" t="inlineStr">
        <is>
          <t>pct</t>
        </is>
      </c>
      <c r="F698">
        <f>out_fee_drag</f>
        <v/>
      </c>
      <c r="G698" t="inlineStr">
        <is>
          <t>gross-to-net spread: project levered IRR minus LP net IRR</t>
        </is>
      </c>
      <c r="H698" s="95" t="inlineStr">
        <is>
          <t>'='CashFlow'!$D$41-D45</t>
        </is>
      </c>
    </row>
    <row r="699">
      <c r="A699" s="97" t="inlineStr">
        <is>
          <t>out_gp_emx</t>
        </is>
      </c>
      <c r="B699" t="inlineStr">
        <is>
          <t>Investor Waterfall</t>
        </is>
      </c>
      <c r="C699" t="inlineStr">
        <is>
          <t>$I$46</t>
        </is>
      </c>
      <c r="D699" t="inlineStr">
        <is>
          <t>output</t>
        </is>
      </c>
      <c r="E699" t="inlineStr">
        <is>
          <t>currency</t>
        </is>
      </c>
      <c r="F699">
        <f>out_gp_emx</f>
        <v/>
      </c>
      <c r="G699" t="inlineStr">
        <is>
          <t>GP equity multiple</t>
        </is>
      </c>
      <c r="H699" s="95" t="inlineStr">
        <is>
          <t>'=IF(OR('Summary &amp; Assumptions'!$H$6&lt;=0,'P&amp;L'!$Z$69&lt;=0),0,IFERROR(SUMIF($E$41:$T$41,"&gt;0")/-SUMIF($E$41:$T$41,"&lt;0"),0))</t>
        </is>
      </c>
    </row>
    <row r="700">
      <c r="A700" s="97" t="inlineStr">
        <is>
          <t>out_gp_irr</t>
        </is>
      </c>
      <c r="B700" t="inlineStr">
        <is>
          <t>Investor Waterfall</t>
        </is>
      </c>
      <c r="C700" t="inlineStr">
        <is>
          <t>$I$45</t>
        </is>
      </c>
      <c r="D700" t="inlineStr">
        <is>
          <t>output</t>
        </is>
      </c>
      <c r="E700" t="inlineStr">
        <is>
          <t>pct</t>
        </is>
      </c>
      <c r="F700">
        <f>out_gp_irr</f>
        <v/>
      </c>
      <c r="G700" t="inlineStr">
        <is>
          <t>GP IRR (equity + promote, excl. fees earned), annual</t>
        </is>
      </c>
      <c r="H700" s="95" t="inlineStr">
        <is>
          <t>'=IF(OR('Summary &amp; Assumptions'!$H$6&lt;=0,'P&amp;L'!$Z$69&lt;=0),0,IFERROR(IRR($E$41:$T$41),0))</t>
        </is>
      </c>
    </row>
    <row r="701">
      <c r="A701" s="97" t="inlineStr">
        <is>
          <t>out_gp_total_dist</t>
        </is>
      </c>
      <c r="B701" t="inlineStr">
        <is>
          <t>Investor Waterfall</t>
        </is>
      </c>
      <c r="C701" t="inlineStr">
        <is>
          <t>$I$47</t>
        </is>
      </c>
      <c r="D701" t="inlineStr">
        <is>
          <t>output</t>
        </is>
      </c>
      <c r="E701" t="inlineStr">
        <is>
          <t>currency</t>
        </is>
      </c>
      <c r="F701">
        <f>out_gp_total_dist</f>
        <v/>
      </c>
      <c r="G701" t="inlineStr"/>
      <c r="H701" s="95" t="inlineStr">
        <is>
          <t>'=SUMIF($E$41:$T$41,"&gt;0")</t>
        </is>
      </c>
    </row>
    <row r="702">
      <c r="A702" s="97" t="inlineStr">
        <is>
          <t>out_lev_cf_close</t>
        </is>
      </c>
      <c r="B702" t="inlineStr">
        <is>
          <t>CashFlow</t>
        </is>
      </c>
      <c r="C702" t="inlineStr">
        <is>
          <t>$E$40</t>
        </is>
      </c>
      <c r="D702" t="inlineStr">
        <is>
          <t>output</t>
        </is>
      </c>
      <c r="E702" t="inlineStr">
        <is>
          <t>currency</t>
        </is>
      </c>
      <c r="F702">
        <f>out_lev_cf_close</f>
        <v/>
      </c>
      <c r="G702" t="inlineStr">
        <is>
          <t>Year-0 levered cash flow (equity at close, negated)</t>
        </is>
      </c>
      <c r="H702" s="95" t="inlineStr">
        <is>
          <t>'=-'Summary &amp; Assumptions'!$C$74</t>
        </is>
      </c>
    </row>
    <row r="703">
      <c r="A703" s="97" t="inlineStr">
        <is>
          <t>out_lev_emx</t>
        </is>
      </c>
      <c r="B703" t="inlineStr">
        <is>
          <t>Summary &amp; Assumptions</t>
        </is>
      </c>
      <c r="C703" t="inlineStr">
        <is>
          <t>$H$23</t>
        </is>
      </c>
      <c r="D703" t="inlineStr">
        <is>
          <t>output</t>
        </is>
      </c>
      <c r="E703" t="inlineStr">
        <is>
          <t>currency</t>
        </is>
      </c>
      <c r="F703">
        <f>out_lev_emx</f>
        <v/>
      </c>
      <c r="G703" t="inlineStr"/>
      <c r="H703" s="95" t="inlineStr">
        <is>
          <t>'=IF(OR('Summary &amp; Assumptions'!$H$6&lt;=0,'P&amp;L'!$Z$69&lt;=0),0,IFERROR(SUMIF(CashFlow!$E$40:$T$40,"&gt;0")/-SUMIF(CashFlow!$E$40:$T$40,"&lt;0"),0))</t>
        </is>
      </c>
    </row>
    <row r="704">
      <c r="A704" s="97" t="inlineStr">
        <is>
          <t>out_lev_irr</t>
        </is>
      </c>
      <c r="B704" t="inlineStr">
        <is>
          <t>CashFlow</t>
        </is>
      </c>
      <c r="C704" t="inlineStr">
        <is>
          <t>$D$41</t>
        </is>
      </c>
      <c r="D704" t="inlineStr">
        <is>
          <t>output</t>
        </is>
      </c>
      <c r="E704" t="inlineStr">
        <is>
          <t>pct</t>
        </is>
      </c>
      <c r="F704">
        <f>out_lev_irr</f>
        <v/>
      </c>
      <c r="G704" t="inlineStr">
        <is>
          <t>levered project IRR (annual)</t>
        </is>
      </c>
      <c r="H704" s="95" t="inlineStr">
        <is>
          <t>'=IF(OR('Summary &amp; Assumptions'!$H$6&lt;=0,'P&amp;L'!$Z$69&lt;=0),0,IFERROR(IRR(E40:T40),0))</t>
        </is>
      </c>
    </row>
    <row r="705">
      <c r="A705" s="97" t="inlineStr">
        <is>
          <t>out_lev_irr_m</t>
        </is>
      </c>
      <c r="B705" t="inlineStr">
        <is>
          <t>CashFlow</t>
        </is>
      </c>
      <c r="C705" t="inlineStr">
        <is>
          <t>$D$41</t>
        </is>
      </c>
      <c r="D705" t="inlineStr">
        <is>
          <t>output</t>
        </is>
      </c>
      <c r="E705" t="inlineStr">
        <is>
          <t>pct</t>
        </is>
      </c>
      <c r="F705">
        <f>out_lev_irr_m</f>
        <v/>
      </c>
      <c r="G705" t="inlineStr">
        <is>
          <t>alias of out_lev_irr (annual model)</t>
        </is>
      </c>
      <c r="H705" s="95" t="inlineStr">
        <is>
          <t>'=IF(OR('Summary &amp; Assumptions'!$H$6&lt;=0,'P&amp;L'!$Z$69&lt;=0),0,IFERROR(IRR(E40:T40),0))</t>
        </is>
      </c>
    </row>
    <row r="706">
      <c r="A706" s="97" t="inlineStr">
        <is>
          <t>out_lp_emx</t>
        </is>
      </c>
      <c r="B706" t="inlineStr">
        <is>
          <t>Investor Waterfall</t>
        </is>
      </c>
      <c r="C706" t="inlineStr">
        <is>
          <t>$D$46</t>
        </is>
      </c>
      <c r="D706" t="inlineStr">
        <is>
          <t>output</t>
        </is>
      </c>
      <c r="E706" t="inlineStr">
        <is>
          <t>currency</t>
        </is>
      </c>
      <c r="F706">
        <f>out_lp_emx</f>
        <v/>
      </c>
      <c r="G706" t="inlineStr">
        <is>
          <t>LP equity multiple (net)</t>
        </is>
      </c>
      <c r="H706" s="95" t="inlineStr">
        <is>
          <t>'=IF(OR('Summary &amp; Assumptions'!$H$6&lt;=0,'P&amp;L'!$Z$69&lt;=0),0,IFERROR(SUMIF($E$40:$T$40,"&gt;0")/-SUMIF($E$40:$T$40,"&lt;0"),0))</t>
        </is>
      </c>
    </row>
    <row r="707">
      <c r="A707" s="97" t="inlineStr">
        <is>
          <t>out_lp_irr</t>
        </is>
      </c>
      <c r="B707" t="inlineStr">
        <is>
          <t>Investor Waterfall</t>
        </is>
      </c>
      <c r="C707" t="inlineStr">
        <is>
          <t>$D$45</t>
        </is>
      </c>
      <c r="D707" t="inlineStr">
        <is>
          <t>output</t>
        </is>
      </c>
      <c r="E707" t="inlineStr">
        <is>
          <t>pct</t>
        </is>
      </c>
      <c r="F707">
        <f>out_lp_irr</f>
        <v/>
      </c>
      <c r="G707" t="inlineStr">
        <is>
          <t>LP net IRR (after fees + promote), annual</t>
        </is>
      </c>
      <c r="H707" s="95" t="inlineStr">
        <is>
          <t>'=IF(OR('Summary &amp; Assumptions'!$H$6&lt;=0,'P&amp;L'!$Z$69&lt;=0),0,IFERROR(IRR($E$40:$T$40),0))</t>
        </is>
      </c>
    </row>
    <row r="708">
      <c r="A708" s="97" t="inlineStr">
        <is>
          <t>out_lp_simple_return</t>
        </is>
      </c>
      <c r="B708" t="inlineStr">
        <is>
          <t>Investor Waterfall</t>
        </is>
      </c>
      <c r="C708" t="inlineStr">
        <is>
          <t>$D$48</t>
        </is>
      </c>
      <c r="D708" t="inlineStr">
        <is>
          <t>output</t>
        </is>
      </c>
      <c r="E708" t="inlineStr">
        <is>
          <t>pct</t>
        </is>
      </c>
      <c r="F708">
        <f>out_lp_simple_return</f>
        <v/>
      </c>
      <c r="G708" t="inlineStr">
        <is>
          <t>LP simple average annual return; 0 when there is no LP</t>
        </is>
      </c>
      <c r="H708" s="95" t="inlineStr">
        <is>
          <t>'=IF(OR('Summary &amp; Assumptions'!$H$6&lt;=0,'P&amp;L'!$Z$69&lt;=0),0,IF('Summary &amp; Assumptions'!$C$67&lt;=0,0,IFERROR((D46-1)/MAX(1,'Summary &amp; Assumptions'!$C$23),0)))</t>
        </is>
      </c>
    </row>
    <row r="709">
      <c r="A709" s="97" t="inlineStr">
        <is>
          <t>out_lp_total_dist</t>
        </is>
      </c>
      <c r="B709" t="inlineStr">
        <is>
          <t>Investor Waterfall</t>
        </is>
      </c>
      <c r="C709" t="inlineStr">
        <is>
          <t>$D$47</t>
        </is>
      </c>
      <c r="D709" t="inlineStr">
        <is>
          <t>output</t>
        </is>
      </c>
      <c r="E709" t="inlineStr">
        <is>
          <t>currency</t>
        </is>
      </c>
      <c r="F709">
        <f>out_lp_total_dist</f>
        <v/>
      </c>
      <c r="G709" t="inlineStr"/>
      <c r="H709" s="95" t="inlineStr">
        <is>
          <t>'=SUMIF($E$40:$T$40,"&gt;0")</t>
        </is>
      </c>
    </row>
    <row r="710">
      <c r="A710" s="97" t="inlineStr">
        <is>
          <t>out_og_flow_warning</t>
        </is>
      </c>
      <c r="B710" t="inlineStr">
        <is>
          <t>OG T12</t>
        </is>
      </c>
      <c r="C710" t="inlineStr">
        <is>
          <t>$D$4</t>
        </is>
      </c>
      <c r="D710" t="inlineStr">
        <is>
          <t>output</t>
        </is>
      </c>
      <c r="E710" t="inlineStr">
        <is>
          <t>text</t>
        </is>
      </c>
      <c r="F710">
        <f>out_og_flow_warning</f>
        <v/>
      </c>
      <c r="G710" t="inlineStr">
        <is>
          <t>OG T12: silent-zero alarm (text dates / window mismatch)</t>
        </is>
      </c>
      <c r="H710" s="95" t="inlineStr">
        <is>
          <t>'=IF(SUMPRODUCT(('OG T12'!$B$7:$B$226&lt;&gt;"")*ABS('OG T12'!$D$7:$P$226))=0,"",IF(SUMPRODUCT(('OG T12'!$D$5:$P$5&lt;&gt;"")*1)-SUMPRODUCT(ISNUMBER('OG T12'!$D$5:$P$5)*1)&gt;0,"⚠ Row-5 dates contain text — type real dates or mapped values will not flow to the P&amp;L",IF(IFERROR(SUMPRODUCT(('OG T12'!$B$7:$B$226&lt;&gt;"")*ABS('OG T12'!$D$7:$P$226)*((YEAR('OG T12'!$D$5:$P$5)*12+MONTH('OG T12'!$D$5:$P$5))&gt;YEAR('P&amp;L'!$D$4)*12+MONTH('P&amp;L'!$D$4)-12)*((YEAR('OG T12'!$D$5:$P$5)*12+MONTH('OG T12'!$D$5:$P$5))&lt;=YEAR('P&amp;L'!$D$4)*12+MONTH('P&amp;L'!$D$4))),0)=0,"⚠ Mapped values are NOT flowing to the P&amp;L — row-5 dates fall outside the T12 window","")))</t>
        </is>
      </c>
    </row>
    <row r="711">
      <c r="A711" s="97" t="inlineStr">
        <is>
          <t>out_pl_taxes_t12</t>
        </is>
      </c>
      <c r="B711" t="inlineStr">
        <is>
          <t>P&amp;L</t>
        </is>
      </c>
      <c r="C711" t="inlineStr">
        <is>
          <t>$U$31</t>
        </is>
      </c>
      <c r="D711" t="inlineStr">
        <is>
          <t>output</t>
        </is>
      </c>
      <c r="E711" t="inlineStr">
        <is>
          <t>currency</t>
        </is>
      </c>
      <c r="F711">
        <f>out_pl_taxes_t12</f>
        <v/>
      </c>
      <c r="G711" t="inlineStr">
        <is>
          <t>T12 real estate taxes (alias)</t>
        </is>
      </c>
      <c r="H711" s="95" t="inlineStr">
        <is>
          <t>'=IF($U$6="T9",IF(COUNT(D31:O31)&gt;0,Q31,P31),IF($U$6="T6",IF(COUNT(D31:O31)&gt;0,R31,P31),IF($U$6="T3",IF(COUNT(D31:O31)&gt;0,S31,P31),P31)))+T31</t>
        </is>
      </c>
    </row>
    <row r="712">
      <c r="A712" s="97" t="inlineStr">
        <is>
          <t>out_pl_y1_admin</t>
        </is>
      </c>
      <c r="B712" t="inlineStr">
        <is>
          <t>P&amp;L</t>
        </is>
      </c>
      <c r="C712" t="inlineStr">
        <is>
          <t>$Z$45</t>
        </is>
      </c>
      <c r="D712" t="inlineStr">
        <is>
          <t>output</t>
        </is>
      </c>
      <c r="E712" t="inlineStr">
        <is>
          <t>currency</t>
        </is>
      </c>
      <c r="F712">
        <f>out_pl_y1_admin</f>
        <v/>
      </c>
      <c r="G712" t="inlineStr">
        <is>
          <t>final Year 1: admin</t>
        </is>
      </c>
      <c r="H712" s="95" t="inlineStr">
        <is>
          <t>'=CHOOSE($AA$4,N(AB45),N(AD45),N(AF45),N(AH45),N(AJ45))</t>
        </is>
      </c>
    </row>
    <row r="713">
      <c r="A713" s="97" t="inlineStr">
        <is>
          <t>out_pl_y1_bad_debt</t>
        </is>
      </c>
      <c r="B713" t="inlineStr">
        <is>
          <t>P&amp;L</t>
        </is>
      </c>
      <c r="C713" t="inlineStr">
        <is>
          <t>$Z$13</t>
        </is>
      </c>
      <c r="D713" t="inlineStr">
        <is>
          <t>output</t>
        </is>
      </c>
      <c r="E713" t="inlineStr">
        <is>
          <t>currency</t>
        </is>
      </c>
      <c r="F713">
        <f>out_pl_y1_bad_debt</f>
        <v/>
      </c>
      <c r="G713" t="inlineStr">
        <is>
          <t>final Year 1: bad_debt</t>
        </is>
      </c>
      <c r="H713" s="95" t="inlineStr">
        <is>
          <t>'=CHOOSE($AA$4,N(AB13),N(AD13),N(AF13),N(AH13),N(AJ13))</t>
        </is>
      </c>
    </row>
    <row r="714">
      <c r="A714" s="97" t="inlineStr">
        <is>
          <t>out_pl_y1_commercial</t>
        </is>
      </c>
      <c r="B714" t="inlineStr">
        <is>
          <t>P&amp;L</t>
        </is>
      </c>
      <c r="C714" t="inlineStr">
        <is>
          <t>$Z$20</t>
        </is>
      </c>
      <c r="D714" t="inlineStr">
        <is>
          <t>output</t>
        </is>
      </c>
      <c r="E714" t="inlineStr">
        <is>
          <t>currency</t>
        </is>
      </c>
      <c r="F714">
        <f>out_pl_y1_commercial</f>
        <v/>
      </c>
      <c r="G714" t="inlineStr">
        <is>
          <t>final Year 1: commercial</t>
        </is>
      </c>
      <c r="H714" s="95" t="inlineStr">
        <is>
          <t>'=CHOOSE($AA$4,N(AB20),N(AD20),N(AF20),N(AH20),N(AJ20))</t>
        </is>
      </c>
    </row>
    <row r="715">
      <c r="A715" s="97" t="inlineStr">
        <is>
          <t>out_pl_y1_concessions</t>
        </is>
      </c>
      <c r="B715" t="inlineStr">
        <is>
          <t>P&amp;L</t>
        </is>
      </c>
      <c r="C715" t="inlineStr">
        <is>
          <t>$Z$12</t>
        </is>
      </c>
      <c r="D715" t="inlineStr">
        <is>
          <t>output</t>
        </is>
      </c>
      <c r="E715" t="inlineStr">
        <is>
          <t>currency</t>
        </is>
      </c>
      <c r="F715">
        <f>out_pl_y1_concessions</f>
        <v/>
      </c>
      <c r="G715" t="inlineStr">
        <is>
          <t>final Year 1: concessions</t>
        </is>
      </c>
      <c r="H715" s="95" t="inlineStr">
        <is>
          <t>'=CHOOSE($AA$4,N(AB12),N(AD12),N(AF12),N(AH12),N(AJ12))</t>
        </is>
      </c>
    </row>
    <row r="716">
      <c r="A716" s="97" t="inlineStr">
        <is>
          <t>out_pl_y1_gpr</t>
        </is>
      </c>
      <c r="B716" t="inlineStr">
        <is>
          <t>P&amp;L</t>
        </is>
      </c>
      <c r="C716" t="inlineStr">
        <is>
          <t>$Z$8</t>
        </is>
      </c>
      <c r="D716" t="inlineStr">
        <is>
          <t>output</t>
        </is>
      </c>
      <c r="E716" t="inlineStr">
        <is>
          <t>currency</t>
        </is>
      </c>
      <c r="F716">
        <f>out_pl_y1_gpr</f>
        <v/>
      </c>
      <c r="G716" t="inlineStr">
        <is>
          <t>final Year 1: gpr</t>
        </is>
      </c>
      <c r="H716" s="95" t="inlineStr">
        <is>
          <t>'=CHOOSE($AA$4,N(AB8),N(AD8),N(AF8),N(AH8),N(AJ8))</t>
        </is>
      </c>
    </row>
    <row r="717">
      <c r="A717" s="97" t="inlineStr">
        <is>
          <t>out_pl_y1_insurance</t>
        </is>
      </c>
      <c r="B717" t="inlineStr">
        <is>
          <t>P&amp;L</t>
        </is>
      </c>
      <c r="C717" t="inlineStr">
        <is>
          <t>$Z$32</t>
        </is>
      </c>
      <c r="D717" t="inlineStr">
        <is>
          <t>output</t>
        </is>
      </c>
      <c r="E717" t="inlineStr">
        <is>
          <t>currency</t>
        </is>
      </c>
      <c r="F717">
        <f>out_pl_y1_insurance</f>
        <v/>
      </c>
      <c r="G717" t="inlineStr">
        <is>
          <t>final Year 1: insurance</t>
        </is>
      </c>
      <c r="H717" s="95" t="inlineStr">
        <is>
          <t>'=CHOOSE($AA$4,N(AB32),N(AD32),N(AF32),N(AH32),N(AJ32))</t>
        </is>
      </c>
    </row>
    <row r="718">
      <c r="A718" s="97" t="inlineStr">
        <is>
          <t>out_pl_y1_ltl</t>
        </is>
      </c>
      <c r="B718" t="inlineStr">
        <is>
          <t>P&amp;L</t>
        </is>
      </c>
      <c r="C718" t="inlineStr">
        <is>
          <t>$Z$9</t>
        </is>
      </c>
      <c r="D718" t="inlineStr">
        <is>
          <t>output</t>
        </is>
      </c>
      <c r="E718" t="inlineStr">
        <is>
          <t>currency</t>
        </is>
      </c>
      <c r="F718">
        <f>out_pl_y1_ltl</f>
        <v/>
      </c>
      <c r="G718" t="inlineStr">
        <is>
          <t>final Year 1: ltl</t>
        </is>
      </c>
      <c r="H718" s="95" t="inlineStr">
        <is>
          <t>'=CHOOSE($AA$4,N(AB9),N(AD9),N(AF9),N(AH9),N(AJ9))</t>
        </is>
      </c>
    </row>
    <row r="719">
      <c r="A719" s="97" t="inlineStr">
        <is>
          <t>out_pl_y1_marketing</t>
        </is>
      </c>
      <c r="B719" t="inlineStr">
        <is>
          <t>P&amp;L</t>
        </is>
      </c>
      <c r="C719" t="inlineStr">
        <is>
          <t>$Z$44</t>
        </is>
      </c>
      <c r="D719" t="inlineStr">
        <is>
          <t>output</t>
        </is>
      </c>
      <c r="E719" t="inlineStr">
        <is>
          <t>currency</t>
        </is>
      </c>
      <c r="F719">
        <f>out_pl_y1_marketing</f>
        <v/>
      </c>
      <c r="G719" t="inlineStr">
        <is>
          <t>final Year 1: marketing</t>
        </is>
      </c>
      <c r="H719" s="95" t="inlineStr">
        <is>
          <t>'=CHOOSE($AA$4,N(AB44),N(AD44),N(AF44),N(AH44),N(AJ44))</t>
        </is>
      </c>
    </row>
    <row r="720">
      <c r="A720" s="97" t="inlineStr">
        <is>
          <t>out_pl_y1_mgmt</t>
        </is>
      </c>
      <c r="B720" t="inlineStr">
        <is>
          <t>P&amp;L</t>
        </is>
      </c>
      <c r="C720" t="inlineStr">
        <is>
          <t>$Z$46</t>
        </is>
      </c>
      <c r="D720" t="inlineStr">
        <is>
          <t>output</t>
        </is>
      </c>
      <c r="E720" t="inlineStr">
        <is>
          <t>currency</t>
        </is>
      </c>
      <c r="F720">
        <f>out_pl_y1_mgmt</f>
        <v/>
      </c>
      <c r="G720" t="inlineStr">
        <is>
          <t>final Year 1: mgmt</t>
        </is>
      </c>
      <c r="H720" s="95" t="inlineStr">
        <is>
          <t>'=CHOOSE($AA$4,N(AB46),N(AD46),N(AF46),N(AH46),N(AJ46))</t>
        </is>
      </c>
    </row>
    <row r="721">
      <c r="A721" s="97" t="inlineStr">
        <is>
          <t>out_pl_y1_noi</t>
        </is>
      </c>
      <c r="B721" t="inlineStr">
        <is>
          <t>P&amp;L</t>
        </is>
      </c>
      <c r="C721" t="inlineStr">
        <is>
          <t>$Z$69</t>
        </is>
      </c>
      <c r="D721" t="inlineStr">
        <is>
          <t>output</t>
        </is>
      </c>
      <c r="E721" t="inlineStr">
        <is>
          <t>currency</t>
        </is>
      </c>
      <c r="F721">
        <f>out_pl_y1_noi</f>
        <v/>
      </c>
      <c r="G721" t="inlineStr">
        <is>
          <t>Year 1 pro forma NOI</t>
        </is>
      </c>
      <c r="H721" s="95" t="inlineStr">
        <is>
          <t>'=CHOOSE($AA$4,N(AB69),N(AD69),N(AF69),N(AH69),N(AJ69))</t>
        </is>
      </c>
    </row>
    <row r="722">
      <c r="A722" s="97" t="inlineStr">
        <is>
          <t>out_pl_y1_nonrev</t>
        </is>
      </c>
      <c r="B722" t="inlineStr">
        <is>
          <t>P&amp;L</t>
        </is>
      </c>
      <c r="C722" t="inlineStr">
        <is>
          <t>$Z$11</t>
        </is>
      </c>
      <c r="D722" t="inlineStr">
        <is>
          <t>output</t>
        </is>
      </c>
      <c r="E722" t="inlineStr">
        <is>
          <t>currency</t>
        </is>
      </c>
      <c r="F722">
        <f>out_pl_y1_nonrev</f>
        <v/>
      </c>
      <c r="G722" t="inlineStr">
        <is>
          <t>final Year 1: nonrev</t>
        </is>
      </c>
      <c r="H722" s="95" t="inlineStr">
        <is>
          <t>'=CHOOSE($AA$4,N(AB11),N(AD11),N(AF11),N(AH11),N(AJ11))</t>
        </is>
      </c>
    </row>
    <row r="723">
      <c r="A723" s="97" t="inlineStr">
        <is>
          <t>out_pl_y1_oth_fees</t>
        </is>
      </c>
      <c r="B723" t="inlineStr">
        <is>
          <t>P&amp;L</t>
        </is>
      </c>
      <c r="C723" t="inlineStr">
        <is>
          <t>$Z$25</t>
        </is>
      </c>
      <c r="D723" t="inlineStr">
        <is>
          <t>output</t>
        </is>
      </c>
      <c r="E723" t="inlineStr">
        <is>
          <t>currency</t>
        </is>
      </c>
      <c r="F723">
        <f>out_pl_y1_oth_fees</f>
        <v/>
      </c>
      <c r="G723" t="inlineStr">
        <is>
          <t>final Year 1: oth_fees</t>
        </is>
      </c>
      <c r="H723" s="95" t="inlineStr">
        <is>
          <t>'=CHOOSE($AA$4,N(AB25),N(AD25),N(AF25),N(AH25),N(AJ25))</t>
        </is>
      </c>
    </row>
    <row r="724">
      <c r="A724" s="97" t="inlineStr">
        <is>
          <t>out_pl_y1_oth_general</t>
        </is>
      </c>
      <c r="B724" t="inlineStr">
        <is>
          <t>P&amp;L</t>
        </is>
      </c>
      <c r="C724" t="inlineStr">
        <is>
          <t>$Z$22</t>
        </is>
      </c>
      <c r="D724" t="inlineStr">
        <is>
          <t>output</t>
        </is>
      </c>
      <c r="E724" t="inlineStr">
        <is>
          <t>currency</t>
        </is>
      </c>
      <c r="F724">
        <f>out_pl_y1_oth_general</f>
        <v/>
      </c>
      <c r="G724" t="inlineStr">
        <is>
          <t>final Year 1: oth_general</t>
        </is>
      </c>
      <c r="H724" s="95" t="inlineStr">
        <is>
          <t>'=CHOOSE($AA$4,N(AB22),N(AD22),N(AF22),N(AH22),N(AJ22))</t>
        </is>
      </c>
    </row>
    <row r="725">
      <c r="A725" s="97" t="inlineStr">
        <is>
          <t>out_pl_y1_oth_laundry</t>
        </is>
      </c>
      <c r="B725" t="inlineStr">
        <is>
          <t>P&amp;L</t>
        </is>
      </c>
      <c r="C725" t="inlineStr">
        <is>
          <t>$Z$27</t>
        </is>
      </c>
      <c r="D725" t="inlineStr">
        <is>
          <t>output</t>
        </is>
      </c>
      <c r="E725" t="inlineStr">
        <is>
          <t>currency</t>
        </is>
      </c>
      <c r="F725">
        <f>out_pl_y1_oth_laundry</f>
        <v/>
      </c>
      <c r="G725" t="inlineStr">
        <is>
          <t>final Year 1: oth_laundry</t>
        </is>
      </c>
      <c r="H725" s="95" t="inlineStr">
        <is>
          <t>'=CHOOSE($AA$4,N(AB27),N(AD27),N(AF27),N(AH27),N(AJ27))</t>
        </is>
      </c>
    </row>
    <row r="726">
      <c r="A726" s="97" t="inlineStr">
        <is>
          <t>out_pl_y1_oth_parking</t>
        </is>
      </c>
      <c r="B726" t="inlineStr">
        <is>
          <t>P&amp;L</t>
        </is>
      </c>
      <c r="C726" t="inlineStr">
        <is>
          <t>$Z$23</t>
        </is>
      </c>
      <c r="D726" t="inlineStr">
        <is>
          <t>output</t>
        </is>
      </c>
      <c r="E726" t="inlineStr">
        <is>
          <t>currency</t>
        </is>
      </c>
      <c r="F726">
        <f>out_pl_y1_oth_parking</f>
        <v/>
      </c>
      <c r="G726" t="inlineStr">
        <is>
          <t>final Year 1: oth_parking</t>
        </is>
      </c>
      <c r="H726" s="95" t="inlineStr">
        <is>
          <t>'=CHOOSE($AA$4,N(AB23),N(AD23),N(AF23),N(AH23),N(AJ23))</t>
        </is>
      </c>
    </row>
    <row r="727">
      <c r="A727" s="97" t="inlineStr">
        <is>
          <t>out_pl_y1_oth_pet</t>
        </is>
      </c>
      <c r="B727" t="inlineStr">
        <is>
          <t>P&amp;L</t>
        </is>
      </c>
      <c r="C727" t="inlineStr">
        <is>
          <t>$Z$24</t>
        </is>
      </c>
      <c r="D727" t="inlineStr">
        <is>
          <t>output</t>
        </is>
      </c>
      <c r="E727" t="inlineStr">
        <is>
          <t>currency</t>
        </is>
      </c>
      <c r="F727">
        <f>out_pl_y1_oth_pet</f>
        <v/>
      </c>
      <c r="G727" t="inlineStr">
        <is>
          <t>final Year 1: oth_pet</t>
        </is>
      </c>
      <c r="H727" s="95" t="inlineStr">
        <is>
          <t>'=CHOOSE($AA$4,N(AB24),N(AD24),N(AF24),N(AH24),N(AJ24))</t>
        </is>
      </c>
    </row>
    <row r="728">
      <c r="A728" s="97" t="inlineStr">
        <is>
          <t>out_pl_y1_oth_storage</t>
        </is>
      </c>
      <c r="B728" t="inlineStr">
        <is>
          <t>P&amp;L</t>
        </is>
      </c>
      <c r="C728" t="inlineStr">
        <is>
          <t>$Z$26</t>
        </is>
      </c>
      <c r="D728" t="inlineStr">
        <is>
          <t>output</t>
        </is>
      </c>
      <c r="E728" t="inlineStr">
        <is>
          <t>currency</t>
        </is>
      </c>
      <c r="F728">
        <f>out_pl_y1_oth_storage</f>
        <v/>
      </c>
      <c r="G728" t="inlineStr">
        <is>
          <t>final Year 1: oth_storage</t>
        </is>
      </c>
      <c r="H728" s="95" t="inlineStr">
        <is>
          <t>'=CHOOSE($AA$4,N(AB26),N(AD26),N(AF26),N(AH26),N(AJ26))</t>
        </is>
      </c>
    </row>
    <row r="729">
      <c r="A729" s="97" t="inlineStr">
        <is>
          <t>out_pl_y1_other</t>
        </is>
      </c>
      <c r="B729" t="inlineStr">
        <is>
          <t>P&amp;L</t>
        </is>
      </c>
      <c r="C729" t="inlineStr">
        <is>
          <t>$Z$21</t>
        </is>
      </c>
      <c r="D729" t="inlineStr">
        <is>
          <t>output</t>
        </is>
      </c>
      <c r="E729" t="inlineStr">
        <is>
          <t>currency</t>
        </is>
      </c>
      <c r="F729">
        <f>out_pl_y1_other</f>
        <v/>
      </c>
      <c r="G729" t="inlineStr">
        <is>
          <t>final Year 1: other</t>
        </is>
      </c>
      <c r="H729" s="95" t="inlineStr">
        <is>
          <t>'=CHOOSE($AA$4,N(AB21),N(AD21),N(AF21),N(AH21),N(AJ21))</t>
        </is>
      </c>
    </row>
    <row r="730">
      <c r="A730" s="97" t="inlineStr">
        <is>
          <t>out_pl_y1_reimb</t>
        </is>
      </c>
      <c r="B730" t="inlineStr">
        <is>
          <t>P&amp;L</t>
        </is>
      </c>
      <c r="C730" t="inlineStr">
        <is>
          <t>$Z$14</t>
        </is>
      </c>
      <c r="D730" t="inlineStr">
        <is>
          <t>output</t>
        </is>
      </c>
      <c r="E730" t="inlineStr">
        <is>
          <t>currency</t>
        </is>
      </c>
      <c r="F730">
        <f>out_pl_y1_reimb</f>
        <v/>
      </c>
      <c r="G730" t="inlineStr">
        <is>
          <t>final Year 1: reimb</t>
        </is>
      </c>
      <c r="H730" s="95" t="inlineStr">
        <is>
          <t>'=CHOOSE($AA$4,N(AB14),N(AD14),N(AF14),N(AH14),N(AJ14))</t>
        </is>
      </c>
    </row>
    <row r="731">
      <c r="A731" s="97" t="inlineStr">
        <is>
          <t>out_pl_y1_reimb_electric</t>
        </is>
      </c>
      <c r="B731" t="inlineStr">
        <is>
          <t>P&amp;L</t>
        </is>
      </c>
      <c r="C731" t="inlineStr">
        <is>
          <t>$Z$16</t>
        </is>
      </c>
      <c r="D731" t="inlineStr">
        <is>
          <t>output</t>
        </is>
      </c>
      <c r="E731" t="inlineStr">
        <is>
          <t>currency</t>
        </is>
      </c>
      <c r="F731">
        <f>out_pl_y1_reimb_electric</f>
        <v/>
      </c>
      <c r="G731" t="inlineStr">
        <is>
          <t>final Year 1: reimb_electric</t>
        </is>
      </c>
      <c r="H731" s="95" t="inlineStr">
        <is>
          <t>'=CHOOSE($AA$4,N(AB16),N(AD16),N(AF16),N(AH16),N(AJ16))</t>
        </is>
      </c>
    </row>
    <row r="732">
      <c r="A732" s="97" t="inlineStr">
        <is>
          <t>out_pl_y1_reimb_gas</t>
        </is>
      </c>
      <c r="B732" t="inlineStr">
        <is>
          <t>P&amp;L</t>
        </is>
      </c>
      <c r="C732" t="inlineStr">
        <is>
          <t>$Z$18</t>
        </is>
      </c>
      <c r="D732" t="inlineStr">
        <is>
          <t>output</t>
        </is>
      </c>
      <c r="E732" t="inlineStr">
        <is>
          <t>currency</t>
        </is>
      </c>
      <c r="F732">
        <f>out_pl_y1_reimb_gas</f>
        <v/>
      </c>
      <c r="G732" t="inlineStr">
        <is>
          <t>final Year 1: reimb_gas</t>
        </is>
      </c>
      <c r="H732" s="95" t="inlineStr">
        <is>
          <t>'=CHOOSE($AA$4,N(AB18),N(AD18),N(AF18),N(AH18),N(AJ18))</t>
        </is>
      </c>
    </row>
    <row r="733">
      <c r="A733" s="97" t="inlineStr">
        <is>
          <t>out_pl_y1_reimb_general</t>
        </is>
      </c>
      <c r="B733" t="inlineStr">
        <is>
          <t>P&amp;L</t>
        </is>
      </c>
      <c r="C733" t="inlineStr">
        <is>
          <t>$Z$15</t>
        </is>
      </c>
      <c r="D733" t="inlineStr">
        <is>
          <t>output</t>
        </is>
      </c>
      <c r="E733" t="inlineStr">
        <is>
          <t>currency</t>
        </is>
      </c>
      <c r="F733">
        <f>out_pl_y1_reimb_general</f>
        <v/>
      </c>
      <c r="G733" t="inlineStr">
        <is>
          <t>final Year 1: reimb_general</t>
        </is>
      </c>
      <c r="H733" s="95" t="inlineStr">
        <is>
          <t>'=CHOOSE($AA$4,N(AB15),N(AD15),N(AF15),N(AH15),N(AJ15))</t>
        </is>
      </c>
    </row>
    <row r="734">
      <c r="A734" s="97" t="inlineStr">
        <is>
          <t>out_pl_y1_reimb_trash</t>
        </is>
      </c>
      <c r="B734" t="inlineStr">
        <is>
          <t>P&amp;L</t>
        </is>
      </c>
      <c r="C734" t="inlineStr">
        <is>
          <t>$Z$19</t>
        </is>
      </c>
      <c r="D734" t="inlineStr">
        <is>
          <t>output</t>
        </is>
      </c>
      <c r="E734" t="inlineStr">
        <is>
          <t>currency</t>
        </is>
      </c>
      <c r="F734">
        <f>out_pl_y1_reimb_trash</f>
        <v/>
      </c>
      <c r="G734" t="inlineStr">
        <is>
          <t>final Year 1: reimb_trash</t>
        </is>
      </c>
      <c r="H734" s="95" t="inlineStr">
        <is>
          <t>'=CHOOSE($AA$4,N(AB19),N(AD19),N(AF19),N(AH19),N(AJ19))</t>
        </is>
      </c>
    </row>
    <row r="735">
      <c r="A735" s="97" t="inlineStr">
        <is>
          <t>out_pl_y1_reimb_water</t>
        </is>
      </c>
      <c r="B735" t="inlineStr">
        <is>
          <t>P&amp;L</t>
        </is>
      </c>
      <c r="C735" t="inlineStr">
        <is>
          <t>$Z$17</t>
        </is>
      </c>
      <c r="D735" t="inlineStr">
        <is>
          <t>output</t>
        </is>
      </c>
      <c r="E735" t="inlineStr">
        <is>
          <t>currency</t>
        </is>
      </c>
      <c r="F735">
        <f>out_pl_y1_reimb_water</f>
        <v/>
      </c>
      <c r="G735" t="inlineStr">
        <is>
          <t>final Year 1: reimb_water</t>
        </is>
      </c>
      <c r="H735" s="95" t="inlineStr">
        <is>
          <t>'=CHOOSE($AA$4,N(AB17),N(AD17),N(AF17),N(AH17),N(AJ17))</t>
        </is>
      </c>
    </row>
    <row r="736">
      <c r="A736" s="97" t="inlineStr">
        <is>
          <t>out_pl_y1_rm</t>
        </is>
      </c>
      <c r="B736" t="inlineStr">
        <is>
          <t>P&amp;L</t>
        </is>
      </c>
      <c r="C736" t="inlineStr">
        <is>
          <t>$Z$34</t>
        </is>
      </c>
      <c r="D736" t="inlineStr">
        <is>
          <t>output</t>
        </is>
      </c>
      <c r="E736" t="inlineStr">
        <is>
          <t>currency</t>
        </is>
      </c>
      <c r="F736">
        <f>out_pl_y1_rm</f>
        <v/>
      </c>
      <c r="G736" t="inlineStr">
        <is>
          <t>final Year 1: rm</t>
        </is>
      </c>
      <c r="H736" s="95" t="inlineStr">
        <is>
          <t>'=CHOOSE($AA$4,N(AB34),N(AD34),N(AF34),N(AH34),N(AJ34))</t>
        </is>
      </c>
    </row>
    <row r="737">
      <c r="A737" s="97" t="inlineStr">
        <is>
          <t>out_pl_y1_rm_contract</t>
        </is>
      </c>
      <c r="B737" t="inlineStr">
        <is>
          <t>P&amp;L</t>
        </is>
      </c>
      <c r="C737" t="inlineStr">
        <is>
          <t>$Z$36</t>
        </is>
      </c>
      <c r="D737" t="inlineStr">
        <is>
          <t>output</t>
        </is>
      </c>
      <c r="E737" t="inlineStr">
        <is>
          <t>currency</t>
        </is>
      </c>
      <c r="F737">
        <f>out_pl_y1_rm_contract</f>
        <v/>
      </c>
      <c r="G737" t="inlineStr">
        <is>
          <t>final Year 1: rm_contract</t>
        </is>
      </c>
      <c r="H737" s="95" t="inlineStr">
        <is>
          <t>'=CHOOSE($AA$4,N(AB36),N(AD36),N(AF36),N(AH36),N(AJ36))</t>
        </is>
      </c>
    </row>
    <row r="738">
      <c r="A738" s="97" t="inlineStr">
        <is>
          <t>out_pl_y1_rm_general</t>
        </is>
      </c>
      <c r="B738" t="inlineStr">
        <is>
          <t>P&amp;L</t>
        </is>
      </c>
      <c r="C738" t="inlineStr">
        <is>
          <t>$Z$35</t>
        </is>
      </c>
      <c r="D738" t="inlineStr">
        <is>
          <t>output</t>
        </is>
      </c>
      <c r="E738" t="inlineStr">
        <is>
          <t>currency</t>
        </is>
      </c>
      <c r="F738">
        <f>out_pl_y1_rm_general</f>
        <v/>
      </c>
      <c r="G738" t="inlineStr">
        <is>
          <t>final Year 1: rm_general</t>
        </is>
      </c>
      <c r="H738" s="95" t="inlineStr">
        <is>
          <t>'=CHOOSE($AA$4,N(AB35),N(AD35),N(AF35),N(AH35),N(AJ35))</t>
        </is>
      </c>
    </row>
    <row r="739">
      <c r="A739" s="97" t="inlineStr">
        <is>
          <t>out_pl_y1_rm_turnover</t>
        </is>
      </c>
      <c r="B739" t="inlineStr">
        <is>
          <t>P&amp;L</t>
        </is>
      </c>
      <c r="C739" t="inlineStr">
        <is>
          <t>$Z$37</t>
        </is>
      </c>
      <c r="D739" t="inlineStr">
        <is>
          <t>output</t>
        </is>
      </c>
      <c r="E739" t="inlineStr">
        <is>
          <t>currency</t>
        </is>
      </c>
      <c r="F739">
        <f>out_pl_y1_rm_turnover</f>
        <v/>
      </c>
      <c r="G739" t="inlineStr">
        <is>
          <t>final Year 1: rm_turnover</t>
        </is>
      </c>
      <c r="H739" s="95" t="inlineStr">
        <is>
          <t>'=CHOOSE($AA$4,N(AB37),N(AD37),N(AF37),N(AH37),N(AJ37))</t>
        </is>
      </c>
    </row>
    <row r="740">
      <c r="A740" s="97" t="inlineStr">
        <is>
          <t>out_pl_y1_salaries</t>
        </is>
      </c>
      <c r="B740" t="inlineStr">
        <is>
          <t>P&amp;L</t>
        </is>
      </c>
      <c r="C740" t="inlineStr">
        <is>
          <t>$Z$33</t>
        </is>
      </c>
      <c r="D740" t="inlineStr">
        <is>
          <t>output</t>
        </is>
      </c>
      <c r="E740" t="inlineStr">
        <is>
          <t>currency</t>
        </is>
      </c>
      <c r="F740">
        <f>out_pl_y1_salaries</f>
        <v/>
      </c>
      <c r="G740" t="inlineStr">
        <is>
          <t>final Year 1: salaries</t>
        </is>
      </c>
      <c r="H740" s="95" t="inlineStr">
        <is>
          <t>'=CHOOSE($AA$4,N(AB33),N(AD33),N(AF33),N(AH33),N(AJ33))</t>
        </is>
      </c>
    </row>
    <row r="741">
      <c r="A741" s="97" t="inlineStr">
        <is>
          <t>out_pl_y1_taxes</t>
        </is>
      </c>
      <c r="B741" t="inlineStr">
        <is>
          <t>P&amp;L</t>
        </is>
      </c>
      <c r="C741" t="inlineStr">
        <is>
          <t>$Z$31</t>
        </is>
      </c>
      <c r="D741" t="inlineStr">
        <is>
          <t>output</t>
        </is>
      </c>
      <c r="E741" t="inlineStr">
        <is>
          <t>currency</t>
        </is>
      </c>
      <c r="F741">
        <f>out_pl_y1_taxes</f>
        <v/>
      </c>
      <c r="G741" t="inlineStr">
        <is>
          <t>final Year 1: taxes</t>
        </is>
      </c>
      <c r="H741" s="95" t="inlineStr">
        <is>
          <t>'=CHOOSE($AA$4,N(AB31),N(AD31),N(AF31),N(AH31),N(AJ31))</t>
        </is>
      </c>
    </row>
    <row r="742">
      <c r="A742" s="97" t="inlineStr">
        <is>
          <t>out_pl_y1_total_expenses</t>
        </is>
      </c>
      <c r="B742" t="inlineStr">
        <is>
          <t>P&amp;L</t>
        </is>
      </c>
      <c r="C742" t="inlineStr">
        <is>
          <t>$Z$67</t>
        </is>
      </c>
      <c r="D742" t="inlineStr">
        <is>
          <t>output</t>
        </is>
      </c>
      <c r="E742" t="inlineStr">
        <is>
          <t>currency</t>
        </is>
      </c>
      <c r="F742">
        <f>out_pl_y1_total_expenses</f>
        <v/>
      </c>
      <c r="G742" t="inlineStr"/>
      <c r="H742" s="95" t="inlineStr">
        <is>
          <t>'=CHOOSE($AA$4,N(AB67),N(AD67),N(AF67),N(AH67),N(AJ67))</t>
        </is>
      </c>
    </row>
    <row r="743">
      <c r="A743" s="97" t="inlineStr">
        <is>
          <t>out_pl_y1_total_income</t>
        </is>
      </c>
      <c r="B743" t="inlineStr">
        <is>
          <t>P&amp;L</t>
        </is>
      </c>
      <c r="C743" t="inlineStr">
        <is>
          <t>$Z$28</t>
        </is>
      </c>
      <c r="D743" t="inlineStr">
        <is>
          <t>output</t>
        </is>
      </c>
      <c r="E743" t="inlineStr">
        <is>
          <t>currency</t>
        </is>
      </c>
      <c r="F743">
        <f>out_pl_y1_total_income</f>
        <v/>
      </c>
      <c r="G743" t="inlineStr">
        <is>
          <t>Year 1 EGR</t>
        </is>
      </c>
      <c r="H743" s="95" t="inlineStr">
        <is>
          <t>'=CHOOSE($AA$4,N(AB28),N(AD28),N(AF28),N(AH28),N(AJ28))</t>
        </is>
      </c>
    </row>
    <row r="744">
      <c r="A744" s="97" t="inlineStr">
        <is>
          <t>out_pl_y1_unmapped</t>
        </is>
      </c>
      <c r="B744" t="inlineStr">
        <is>
          <t>P&amp;L</t>
        </is>
      </c>
      <c r="C744" t="inlineStr">
        <is>
          <t>$Z$47</t>
        </is>
      </c>
      <c r="D744" t="inlineStr">
        <is>
          <t>output</t>
        </is>
      </c>
      <c r="E744" t="inlineStr">
        <is>
          <t>currency</t>
        </is>
      </c>
      <c r="F744">
        <f>out_pl_y1_unmapped</f>
        <v/>
      </c>
      <c r="G744" t="inlineStr">
        <is>
          <t>final Year 1: unmapped</t>
        </is>
      </c>
      <c r="H744" s="95" t="inlineStr">
        <is>
          <t>'=CHOOSE($AA$4,N(AB47),N(AD47),N(AF47),N(AH47),N(AJ47))</t>
        </is>
      </c>
    </row>
    <row r="745">
      <c r="A745" s="97" t="inlineStr">
        <is>
          <t>out_pl_y1_util_electric</t>
        </is>
      </c>
      <c r="B745" t="inlineStr">
        <is>
          <t>P&amp;L</t>
        </is>
      </c>
      <c r="C745" t="inlineStr">
        <is>
          <t>$Z$40</t>
        </is>
      </c>
      <c r="D745" t="inlineStr">
        <is>
          <t>output</t>
        </is>
      </c>
      <c r="E745" t="inlineStr">
        <is>
          <t>currency</t>
        </is>
      </c>
      <c r="F745">
        <f>out_pl_y1_util_electric</f>
        <v/>
      </c>
      <c r="G745" t="inlineStr">
        <is>
          <t>final Year 1: util_electric</t>
        </is>
      </c>
      <c r="H745" s="95" t="inlineStr">
        <is>
          <t>'=CHOOSE($AA$4,N(AB40),N(AD40),N(AF40),N(AH40),N(AJ40))</t>
        </is>
      </c>
    </row>
    <row r="746">
      <c r="A746" s="97" t="inlineStr">
        <is>
          <t>out_pl_y1_util_gas</t>
        </is>
      </c>
      <c r="B746" t="inlineStr">
        <is>
          <t>P&amp;L</t>
        </is>
      </c>
      <c r="C746" t="inlineStr">
        <is>
          <t>$Z$42</t>
        </is>
      </c>
      <c r="D746" t="inlineStr">
        <is>
          <t>output</t>
        </is>
      </c>
      <c r="E746" t="inlineStr">
        <is>
          <t>currency</t>
        </is>
      </c>
      <c r="F746">
        <f>out_pl_y1_util_gas</f>
        <v/>
      </c>
      <c r="G746" t="inlineStr">
        <is>
          <t>final Year 1: util_gas</t>
        </is>
      </c>
      <c r="H746" s="95" t="inlineStr">
        <is>
          <t>'=CHOOSE($AA$4,N(AB42),N(AD42),N(AF42),N(AH42),N(AJ42))</t>
        </is>
      </c>
    </row>
    <row r="747">
      <c r="A747" s="97" t="inlineStr">
        <is>
          <t>out_pl_y1_util_general</t>
        </is>
      </c>
      <c r="B747" t="inlineStr">
        <is>
          <t>P&amp;L</t>
        </is>
      </c>
      <c r="C747" t="inlineStr">
        <is>
          <t>$Z$39</t>
        </is>
      </c>
      <c r="D747" t="inlineStr">
        <is>
          <t>output</t>
        </is>
      </c>
      <c r="E747" t="inlineStr">
        <is>
          <t>currency</t>
        </is>
      </c>
      <c r="F747">
        <f>out_pl_y1_util_general</f>
        <v/>
      </c>
      <c r="G747" t="inlineStr">
        <is>
          <t>final Year 1: util_general</t>
        </is>
      </c>
      <c r="H747" s="95" t="inlineStr">
        <is>
          <t>'=CHOOSE($AA$4,N(AB39),N(AD39),N(AF39),N(AH39),N(AJ39))</t>
        </is>
      </c>
    </row>
    <row r="748">
      <c r="A748" s="97" t="inlineStr">
        <is>
          <t>out_pl_y1_util_trash</t>
        </is>
      </c>
      <c r="B748" t="inlineStr">
        <is>
          <t>P&amp;L</t>
        </is>
      </c>
      <c r="C748" t="inlineStr">
        <is>
          <t>$Z$43</t>
        </is>
      </c>
      <c r="D748" t="inlineStr">
        <is>
          <t>output</t>
        </is>
      </c>
      <c r="E748" t="inlineStr">
        <is>
          <t>currency</t>
        </is>
      </c>
      <c r="F748">
        <f>out_pl_y1_util_trash</f>
        <v/>
      </c>
      <c r="G748" t="inlineStr">
        <is>
          <t>final Year 1: util_trash</t>
        </is>
      </c>
      <c r="H748" s="95" t="inlineStr">
        <is>
          <t>'=CHOOSE($AA$4,N(AB43),N(AD43),N(AF43),N(AH43),N(AJ43))</t>
        </is>
      </c>
    </row>
    <row r="749">
      <c r="A749" s="97" t="inlineStr">
        <is>
          <t>out_pl_y1_util_water</t>
        </is>
      </c>
      <c r="B749" t="inlineStr">
        <is>
          <t>P&amp;L</t>
        </is>
      </c>
      <c r="C749" t="inlineStr">
        <is>
          <t>$Z$41</t>
        </is>
      </c>
      <c r="D749" t="inlineStr">
        <is>
          <t>output</t>
        </is>
      </c>
      <c r="E749" t="inlineStr">
        <is>
          <t>currency</t>
        </is>
      </c>
      <c r="F749">
        <f>out_pl_y1_util_water</f>
        <v/>
      </c>
      <c r="G749" t="inlineStr">
        <is>
          <t>final Year 1: util_water</t>
        </is>
      </c>
      <c r="H749" s="95" t="inlineStr">
        <is>
          <t>'=CHOOSE($AA$4,N(AB41),N(AD41),N(AF41),N(AH41),N(AJ41))</t>
        </is>
      </c>
    </row>
    <row r="750">
      <c r="A750" s="97" t="inlineStr">
        <is>
          <t>out_pl_y1_utilities</t>
        </is>
      </c>
      <c r="B750" t="inlineStr">
        <is>
          <t>P&amp;L</t>
        </is>
      </c>
      <c r="C750" t="inlineStr">
        <is>
          <t>$Z$38</t>
        </is>
      </c>
      <c r="D750" t="inlineStr">
        <is>
          <t>output</t>
        </is>
      </c>
      <c r="E750" t="inlineStr">
        <is>
          <t>currency</t>
        </is>
      </c>
      <c r="F750">
        <f>out_pl_y1_utilities</f>
        <v/>
      </c>
      <c r="G750" t="inlineStr">
        <is>
          <t>final Year 1: utilities</t>
        </is>
      </c>
      <c r="H750" s="95" t="inlineStr">
        <is>
          <t>'=CHOOSE($AA$4,N(AB38),N(AD38),N(AF38),N(AH38),N(AJ38))</t>
        </is>
      </c>
    </row>
    <row r="751">
      <c r="A751" s="97" t="inlineStr">
        <is>
          <t>out_pl_y1_vacancy</t>
        </is>
      </c>
      <c r="B751" t="inlineStr">
        <is>
          <t>P&amp;L</t>
        </is>
      </c>
      <c r="C751" t="inlineStr">
        <is>
          <t>$Z$10</t>
        </is>
      </c>
      <c r="D751" t="inlineStr">
        <is>
          <t>output</t>
        </is>
      </c>
      <c r="E751" t="inlineStr">
        <is>
          <t>currency</t>
        </is>
      </c>
      <c r="F751">
        <f>out_pl_y1_vacancy</f>
        <v/>
      </c>
      <c r="G751" t="inlineStr">
        <is>
          <t>final Year 1: vacancy</t>
        </is>
      </c>
      <c r="H751" s="95" t="inlineStr">
        <is>
          <t>'=CHOOSE($AA$4,N(AB10),N(AD10),N(AF10),N(AH10),N(AJ10))</t>
        </is>
      </c>
    </row>
    <row r="752">
      <c r="A752" s="97" t="inlineStr">
        <is>
          <t>out_pw_monthly</t>
        </is>
      </c>
      <c r="B752" t="inlineStr">
        <is>
          <t>Renovation</t>
        </is>
      </c>
      <c r="C752" t="inlineStr">
        <is>
          <t>$F$20:$F$27</t>
        </is>
      </c>
      <c r="D752" t="inlineStr">
        <is>
          <t>array_out</t>
        </is>
      </c>
      <c r="E752" t="inlineStr">
        <is>
          <t>currency</t>
        </is>
      </c>
      <c r="G752" t="inlineStr">
        <is>
          <t>property-wide capex $/month while active</t>
        </is>
      </c>
    </row>
    <row r="753">
      <c r="A753" s="97" t="inlineStr">
        <is>
          <t>out_pw_total_cost</t>
        </is>
      </c>
      <c r="B753" t="inlineStr">
        <is>
          <t>Renovation</t>
        </is>
      </c>
      <c r="C753" t="inlineStr">
        <is>
          <t>$C$28</t>
        </is>
      </c>
      <c r="D753" t="inlineStr">
        <is>
          <t>output</t>
        </is>
      </c>
      <c r="E753" t="inlineStr">
        <is>
          <t>currency</t>
        </is>
      </c>
      <c r="F753">
        <f>out_pw_total_cost</f>
        <v/>
      </c>
      <c r="G753" t="inlineStr"/>
      <c r="H753" s="95" t="inlineStr">
        <is>
          <t>'=SUM(C20:C27)</t>
        </is>
      </c>
    </row>
    <row r="754">
      <c r="A754" s="97" t="inlineStr">
        <is>
          <t>out_reet_rate</t>
        </is>
      </c>
      <c r="B754" t="inlineStr">
        <is>
          <t>WA REET Calculation</t>
        </is>
      </c>
      <c r="C754" t="inlineStr">
        <is>
          <t>$E$26</t>
        </is>
      </c>
      <c r="D754" t="inlineStr">
        <is>
          <t>output</t>
        </is>
      </c>
      <c r="E754" t="inlineStr">
        <is>
          <t>pct</t>
        </is>
      </c>
      <c r="F754">
        <f>out_reet_rate</f>
        <v/>
      </c>
      <c r="G754" t="inlineStr">
        <is>
          <t>blended WA REET rate on the gross exit price</t>
        </is>
      </c>
      <c r="H754" s="95" t="inlineStr">
        <is>
          <t>'=IFERROR(E24/C17,0)</t>
        </is>
      </c>
    </row>
    <row r="755">
      <c r="A755" s="97" t="inlineStr">
        <is>
          <t>out_reet_tax</t>
        </is>
      </c>
      <c r="B755" t="inlineStr">
        <is>
          <t>WA REET Calculation</t>
        </is>
      </c>
      <c r="C755" t="inlineStr">
        <is>
          <t>$E$24</t>
        </is>
      </c>
      <c r="D755" t="inlineStr">
        <is>
          <t>output</t>
        </is>
      </c>
      <c r="E755" t="inlineStr">
        <is>
          <t>currency</t>
        </is>
      </c>
      <c r="F755">
        <f>out_reet_tax</f>
        <v/>
      </c>
      <c r="G755" t="inlineStr">
        <is>
          <t>WA state REET on the gross exit price (DOR tiered calc)</t>
        </is>
      </c>
      <c r="H755" s="95" t="inlineStr">
        <is>
          <t>'=IF(E20="","",SUM(E20:E23))</t>
        </is>
      </c>
    </row>
    <row r="756">
      <c r="A756" s="97" t="inlineStr">
        <is>
          <t>out_reno_avail_units</t>
        </is>
      </c>
      <c r="B756" t="inlineStr">
        <is>
          <t>Renovation</t>
        </is>
      </c>
      <c r="C756" t="inlineStr">
        <is>
          <t>$C$6:$C$15</t>
        </is>
      </c>
      <c r="D756" t="inlineStr">
        <is>
          <t>array_out</t>
        </is>
      </c>
      <c r="E756" t="inlineStr">
        <is>
          <t>int</t>
        </is>
      </c>
      <c r="G756" t="inlineStr">
        <is>
          <t>reno scopes: Units</t>
        </is>
      </c>
    </row>
    <row r="757">
      <c r="A757" s="97" t="inlineStr">
        <is>
          <t>out_reno_capex_per_year</t>
        </is>
      </c>
      <c r="B757" t="inlineStr">
        <is>
          <t>Renovation</t>
        </is>
      </c>
      <c r="C757" t="inlineStr">
        <is>
          <t>$D$48</t>
        </is>
      </c>
      <c r="D757" t="inlineStr">
        <is>
          <t>output</t>
        </is>
      </c>
      <c r="E757" t="inlineStr">
        <is>
          <t>currency</t>
        </is>
      </c>
      <c r="F757">
        <f>out_reno_capex_per_year</f>
        <v/>
      </c>
      <c r="G757" t="inlineStr">
        <is>
          <t>Capex per Year</t>
        </is>
      </c>
      <c r="H757" s="95" t="inlineStr">
        <is>
          <t>'=('Renovation'!$F$16+'Renovation'!$C$28)/$D$47</t>
        </is>
      </c>
    </row>
    <row r="758">
      <c r="A758" s="97" t="inlineStr">
        <is>
          <t>out_reno_downtime_cost</t>
        </is>
      </c>
      <c r="B758" t="inlineStr">
        <is>
          <t>Renovation</t>
        </is>
      </c>
      <c r="C758" t="inlineStr">
        <is>
          <t>$K$6:$K$15</t>
        </is>
      </c>
      <c r="D758" t="inlineStr">
        <is>
          <t>array_out</t>
        </is>
      </c>
      <c r="E758" t="inlineStr">
        <is>
          <t>currency</t>
        </is>
      </c>
      <c r="G758" t="inlineStr">
        <is>
          <t>reno scopes: Cost of Downtime</t>
        </is>
      </c>
    </row>
    <row r="759">
      <c r="A759" s="97" t="inlineStr">
        <is>
          <t>out_reno_downtime_mo</t>
        </is>
      </c>
      <c r="B759" t="inlineStr">
        <is>
          <t>Renovation</t>
        </is>
      </c>
      <c r="C759" t="inlineStr">
        <is>
          <t>$M$6:$M$15</t>
        </is>
      </c>
      <c r="D759" t="inlineStr">
        <is>
          <t>array_out</t>
        </is>
      </c>
      <c r="E759" t="inlineStr">
        <is>
          <t>currency</t>
        </is>
      </c>
      <c r="G759" t="inlineStr">
        <is>
          <t>reno scopes: Downtime $ / Year</t>
        </is>
      </c>
    </row>
    <row r="760">
      <c r="A760" s="97" t="inlineStr">
        <is>
          <t>out_reno_downtime_per_year</t>
        </is>
      </c>
      <c r="B760" t="inlineStr">
        <is>
          <t>Renovation</t>
        </is>
      </c>
      <c r="C760" t="inlineStr">
        <is>
          <t>$D$49</t>
        </is>
      </c>
      <c r="D760" t="inlineStr">
        <is>
          <t>output</t>
        </is>
      </c>
      <c r="E760" t="inlineStr">
        <is>
          <t>currency</t>
        </is>
      </c>
      <c r="F760">
        <f>out_reno_downtime_per_year</f>
        <v/>
      </c>
      <c r="G760" t="inlineStr">
        <is>
          <t>Downtime Cost per Year</t>
        </is>
      </c>
      <c r="H760" s="95" t="inlineStr">
        <is>
          <t>'=$K$16/$D$47</t>
        </is>
      </c>
    </row>
    <row r="761">
      <c r="A761" s="97" t="inlineStr">
        <is>
          <t>out_reno_premium_annual</t>
        </is>
      </c>
      <c r="B761" t="inlineStr">
        <is>
          <t>Renovation</t>
        </is>
      </c>
      <c r="C761" t="inlineStr">
        <is>
          <t>$N$6:$N$15</t>
        </is>
      </c>
      <c r="D761" t="inlineStr">
        <is>
          <t>array_out</t>
        </is>
      </c>
      <c r="E761" t="inlineStr">
        <is>
          <t>currency</t>
        </is>
      </c>
      <c r="G761" t="inlineStr">
        <is>
          <t>reno scopes: Annual Premium (stab.)</t>
        </is>
      </c>
    </row>
    <row r="762">
      <c r="A762" s="97" t="inlineStr">
        <is>
          <t>out_reno_premium_pct</t>
        </is>
      </c>
      <c r="B762" t="inlineStr">
        <is>
          <t>Renovation</t>
        </is>
      </c>
      <c r="C762" t="inlineStr">
        <is>
          <t>$R$6:$R$15</t>
        </is>
      </c>
      <c r="D762" t="inlineStr">
        <is>
          <t>array_out</t>
        </is>
      </c>
      <c r="E762" t="inlineStr">
        <is>
          <t>pct</t>
        </is>
      </c>
      <c r="G762" t="inlineStr">
        <is>
          <t>reno scopes: Premium % of Mkt (hidden helper)</t>
        </is>
      </c>
    </row>
    <row r="763">
      <c r="A763" s="97" t="inlineStr">
        <is>
          <t>out_reno_program_end_yr</t>
        </is>
      </c>
      <c r="B763" t="inlineStr">
        <is>
          <t>Renovation</t>
        </is>
      </c>
      <c r="C763" t="inlineStr">
        <is>
          <t>$D$46</t>
        </is>
      </c>
      <c r="D763" t="inlineStr">
        <is>
          <t>output</t>
        </is>
      </c>
      <c r="E763" t="inlineStr">
        <is>
          <t>int</t>
        </is>
      </c>
      <c r="F763">
        <f>out_reno_program_end_yr</f>
        <v/>
      </c>
      <c r="G763" t="inlineStr">
        <is>
          <t>Program End Year</t>
        </is>
      </c>
      <c r="H763" s="95" t="inlineStr">
        <is>
          <t>'=MAX(1,MAX(MAX($T$6:$T$15),MAX($T$20:$T$27)))</t>
        </is>
      </c>
    </row>
    <row r="764">
      <c r="A764" s="97" t="inlineStr">
        <is>
          <t>out_reno_program_start_yr</t>
        </is>
      </c>
      <c r="B764" t="inlineStr">
        <is>
          <t>Renovation</t>
        </is>
      </c>
      <c r="C764" t="inlineStr">
        <is>
          <t>$D$45</t>
        </is>
      </c>
      <c r="D764" t="inlineStr">
        <is>
          <t>output</t>
        </is>
      </c>
      <c r="E764" t="inlineStr">
        <is>
          <t>int</t>
        </is>
      </c>
      <c r="F764">
        <f>out_reno_program_start_yr</f>
        <v/>
      </c>
      <c r="G764" t="inlineStr">
        <is>
          <t>Program Start Year</t>
        </is>
      </c>
      <c r="H764" s="95" t="inlineStr">
        <is>
          <t>'=MAX(1,MIN(MIN($S$6:$S$15),MIN($S$20:$S$27)))</t>
        </is>
      </c>
    </row>
    <row r="765">
      <c r="A765" s="97" t="inlineStr">
        <is>
          <t>out_reno_program_years</t>
        </is>
      </c>
      <c r="B765" t="inlineStr">
        <is>
          <t>Renovation</t>
        </is>
      </c>
      <c r="C765" t="inlineStr">
        <is>
          <t>$D$47</t>
        </is>
      </c>
      <c r="D765" t="inlineStr">
        <is>
          <t>output</t>
        </is>
      </c>
      <c r="E765" t="inlineStr">
        <is>
          <t>int</t>
        </is>
      </c>
      <c r="F765">
        <f>out_reno_program_years</f>
        <v/>
      </c>
      <c r="G765" t="inlineStr">
        <is>
          <t>Years in Program</t>
        </is>
      </c>
      <c r="H765" s="95" t="inlineStr">
        <is>
          <t>'=MAX(1,$D$46-$D$45+1)</t>
        </is>
      </c>
    </row>
    <row r="766">
      <c r="A766" s="97" t="inlineStr">
        <is>
          <t>out_reno_roi</t>
        </is>
      </c>
      <c r="B766" t="inlineStr">
        <is>
          <t>Renovation</t>
        </is>
      </c>
      <c r="C766" t="inlineStr">
        <is>
          <t>$O$6:$O$15</t>
        </is>
      </c>
      <c r="D766" t="inlineStr">
        <is>
          <t>array_out</t>
        </is>
      </c>
      <c r="E766" t="inlineStr">
        <is>
          <t>currency</t>
        </is>
      </c>
      <c r="G766" t="inlineStr">
        <is>
          <t>reno scopes: Simple ROI</t>
        </is>
      </c>
    </row>
    <row r="767">
      <c r="A767" s="97" t="inlineStr">
        <is>
          <t>out_reno_scope_cost</t>
        </is>
      </c>
      <c r="B767" t="inlineStr">
        <is>
          <t>Renovation</t>
        </is>
      </c>
      <c r="C767" t="inlineStr">
        <is>
          <t>$F$6:$F$15</t>
        </is>
      </c>
      <c r="D767" t="inlineStr">
        <is>
          <t>array_out</t>
        </is>
      </c>
      <c r="E767" t="inlineStr">
        <is>
          <t>currency</t>
        </is>
      </c>
      <c r="G767" t="inlineStr">
        <is>
          <t>reno scopes: Total Cost</t>
        </is>
      </c>
    </row>
    <row r="768">
      <c r="A768" s="97" t="inlineStr">
        <is>
          <t>out_reno_simple_roi</t>
        </is>
      </c>
      <c r="B768" t="inlineStr">
        <is>
          <t>Renovation</t>
        </is>
      </c>
      <c r="C768" t="inlineStr">
        <is>
          <t>$O$16</t>
        </is>
      </c>
      <c r="D768" t="inlineStr">
        <is>
          <t>output</t>
        </is>
      </c>
      <c r="E768" t="inlineStr">
        <is>
          <t>pct</t>
        </is>
      </c>
      <c r="F768">
        <f>out_reno_simple_roi</f>
        <v/>
      </c>
      <c r="G768" t="inlineStr">
        <is>
          <t>annual premium / reno cost (gap #8)</t>
        </is>
      </c>
      <c r="H768" s="95" t="inlineStr">
        <is>
          <t>'=IFERROR(N16/F16,"")</t>
        </is>
      </c>
    </row>
    <row r="769">
      <c r="A769" s="97" t="inlineStr">
        <is>
          <t>out_reno_stab_premium</t>
        </is>
      </c>
      <c r="B769" t="inlineStr">
        <is>
          <t>Renovation</t>
        </is>
      </c>
      <c r="C769" t="inlineStr">
        <is>
          <t>$D$50</t>
        </is>
      </c>
      <c r="D769" t="inlineStr">
        <is>
          <t>output</t>
        </is>
      </c>
      <c r="E769" t="inlineStr">
        <is>
          <t>currency</t>
        </is>
      </c>
      <c r="F769">
        <f>out_reno_stab_premium</f>
        <v/>
      </c>
      <c r="G769" t="inlineStr">
        <is>
          <t>Stabilized Annual Premium</t>
        </is>
      </c>
      <c r="H769" s="95" t="inlineStr">
        <is>
          <t>'=$N$16</t>
        </is>
      </c>
    </row>
    <row r="770">
      <c r="A770" s="97" t="inlineStr">
        <is>
          <t>out_reno_total_cost</t>
        </is>
      </c>
      <c r="B770" t="inlineStr">
        <is>
          <t>Renovation</t>
        </is>
      </c>
      <c r="C770" t="inlineStr">
        <is>
          <t>$F$16</t>
        </is>
      </c>
      <c r="D770" t="inlineStr">
        <is>
          <t>output</t>
        </is>
      </c>
      <c r="E770" t="inlineStr">
        <is>
          <t>currency</t>
        </is>
      </c>
      <c r="F770">
        <f>out_reno_total_cost</f>
        <v/>
      </c>
      <c r="G770" t="inlineStr">
        <is>
          <t>total unit-reno budget</t>
        </is>
      </c>
      <c r="H770" s="95" t="inlineStr">
        <is>
          <t>'=SUM(F6:F15)</t>
        </is>
      </c>
    </row>
    <row r="771">
      <c r="A771" s="97" t="inlineStr">
        <is>
          <t>out_reno_total_premium_annual</t>
        </is>
      </c>
      <c r="B771" t="inlineStr">
        <is>
          <t>Renovation</t>
        </is>
      </c>
      <c r="C771" t="inlineStr">
        <is>
          <t>$N$16</t>
        </is>
      </c>
      <c r="D771" t="inlineStr">
        <is>
          <t>output</t>
        </is>
      </c>
      <c r="E771" t="inlineStr">
        <is>
          <t>currency</t>
        </is>
      </c>
      <c r="F771">
        <f>out_reno_total_premium_annual</f>
        <v/>
      </c>
      <c r="G771" t="inlineStr"/>
      <c r="H771" s="95" t="inlineStr">
        <is>
          <t>'=SUM(N6:N15)</t>
        </is>
      </c>
    </row>
    <row r="772">
      <c r="A772" s="97" t="inlineStr">
        <is>
          <t>out_reno_total_units</t>
        </is>
      </c>
      <c r="B772" t="inlineStr">
        <is>
          <t>Renovation</t>
        </is>
      </c>
      <c r="C772" t="inlineStr">
        <is>
          <t>$D$16</t>
        </is>
      </c>
      <c r="D772" t="inlineStr">
        <is>
          <t>output</t>
        </is>
      </c>
      <c r="E772" t="inlineStr">
        <is>
          <t>int</t>
        </is>
      </c>
      <c r="F772">
        <f>out_reno_total_units</f>
        <v/>
      </c>
      <c r="G772" t="inlineStr"/>
      <c r="H772" s="95" t="inlineStr">
        <is>
          <t>'=SUM(D6:D15)-SUMIF(E6:E15,0,D6:D15)-SUMIF(E6:E15,"",D6:D15)</t>
        </is>
      </c>
    </row>
    <row r="773">
      <c r="A773" s="97" t="inlineStr">
        <is>
          <t>out_reno_velocity</t>
        </is>
      </c>
      <c r="B773" t="inlineStr">
        <is>
          <t>Renovation</t>
        </is>
      </c>
      <c r="C773" t="inlineStr">
        <is>
          <t>$I$6:$I$15</t>
        </is>
      </c>
      <c r="D773" t="inlineStr">
        <is>
          <t>array_out</t>
        </is>
      </c>
      <c r="E773" t="inlineStr">
        <is>
          <t>currency</t>
        </is>
      </c>
      <c r="G773" t="inlineStr">
        <is>
          <t>reno scopes: Units / Year</t>
        </is>
      </c>
    </row>
    <row r="774">
      <c r="A774" s="97" t="inlineStr">
        <is>
          <t>out_res_funded_at_close</t>
        </is>
      </c>
      <c r="B774" t="inlineStr">
        <is>
          <t>Summary &amp; Assumptions</t>
        </is>
      </c>
      <c r="C774" t="inlineStr">
        <is>
          <t>$H$69</t>
        </is>
      </c>
      <c r="D774" t="inlineStr">
        <is>
          <t>output</t>
        </is>
      </c>
      <c r="E774" t="inlineStr">
        <is>
          <t>currency</t>
        </is>
      </c>
      <c r="F774">
        <f>out_res_funded_at_close</f>
        <v/>
      </c>
      <c r="G774" t="inlineStr">
        <is>
          <t>Reserves Funded at Close</t>
        </is>
      </c>
      <c r="H774" s="95" t="inlineStr">
        <is>
          <t>'='Investor Waterfall'!$H$14</t>
        </is>
      </c>
    </row>
    <row r="775">
      <c r="A775" s="97" t="inlineStr">
        <is>
          <t>out_rr_expiry_schedule</t>
        </is>
      </c>
      <c r="B775" t="inlineStr">
        <is>
          <t>Rent Roll</t>
        </is>
      </c>
      <c r="C775" t="inlineStr">
        <is>
          <t>$C$411:$C$434</t>
        </is>
      </c>
      <c r="D775" t="inlineStr">
        <is>
          <t>array_out</t>
        </is>
      </c>
      <c r="E775" t="inlineStr">
        <is>
          <t>int</t>
        </is>
      </c>
      <c r="G775" t="inlineStr">
        <is>
          <t>leases expiring by month, next 24 months</t>
        </is>
      </c>
    </row>
    <row r="776">
      <c r="A776" s="97" t="inlineStr">
        <is>
          <t>out_rr_inplace_total_monthly</t>
        </is>
      </c>
      <c r="B776" t="inlineStr">
        <is>
          <t>Rent Roll</t>
        </is>
      </c>
      <c r="C776" t="inlineStr">
        <is>
          <t>$H$406</t>
        </is>
      </c>
      <c r="D776" t="inlineStr">
        <is>
          <t>output</t>
        </is>
      </c>
      <c r="E776" t="inlineStr">
        <is>
          <t>currency</t>
        </is>
      </c>
      <c r="F776">
        <f>out_rr_inplace_total_monthly</f>
        <v/>
      </c>
      <c r="G776" t="inlineStr"/>
      <c r="H776" s="95" t="inlineStr">
        <is>
          <t>'=SUM(H6:H405)</t>
        </is>
      </c>
    </row>
    <row r="777">
      <c r="A777" s="97" t="inlineStr">
        <is>
          <t>out_rr_lease_end</t>
        </is>
      </c>
      <c r="B777" t="inlineStr">
        <is>
          <t>Rent Roll</t>
        </is>
      </c>
      <c r="C777" t="inlineStr">
        <is>
          <t>$N$6:$N$405</t>
        </is>
      </c>
      <c r="D777" t="inlineStr">
        <is>
          <t>array_out</t>
        </is>
      </c>
      <c r="E777" t="inlineStr">
        <is>
          <t>text</t>
        </is>
      </c>
      <c r="G777" t="inlineStr">
        <is>
          <t>rent roll: Lease End</t>
        </is>
      </c>
    </row>
    <row r="778">
      <c r="A778" s="97" t="inlineStr">
        <is>
          <t>out_rr_market_total_monthly</t>
        </is>
      </c>
      <c r="B778" t="inlineStr">
        <is>
          <t>Rent Roll</t>
        </is>
      </c>
      <c r="C778" t="inlineStr">
        <is>
          <t>$J$406</t>
        </is>
      </c>
      <c r="D778" t="inlineStr">
        <is>
          <t>output</t>
        </is>
      </c>
      <c r="E778" t="inlineStr">
        <is>
          <t>currency</t>
        </is>
      </c>
      <c r="F778">
        <f>out_rr_market_total_monthly</f>
        <v/>
      </c>
      <c r="G778" t="inlineStr"/>
      <c r="H778" s="95" t="inlineStr">
        <is>
          <t>'=SUM(J6:J405)</t>
        </is>
      </c>
    </row>
    <row r="779">
      <c r="A779" s="97" t="inlineStr">
        <is>
          <t>out_rr_rent_psf</t>
        </is>
      </c>
      <c r="B779" t="inlineStr">
        <is>
          <t>Rent Roll</t>
        </is>
      </c>
      <c r="C779" t="inlineStr">
        <is>
          <t>$I$6:$I$405</t>
        </is>
      </c>
      <c r="D779" t="inlineStr">
        <is>
          <t>array_out</t>
        </is>
      </c>
      <c r="E779" t="inlineStr">
        <is>
          <t>text</t>
        </is>
      </c>
      <c r="G779" t="inlineStr">
        <is>
          <t>rent roll: Rent /SF</t>
        </is>
      </c>
    </row>
    <row r="780">
      <c r="A780" s="97" t="inlineStr">
        <is>
          <t>out_simple_return</t>
        </is>
      </c>
      <c r="B780" t="inlineStr">
        <is>
          <t>Summary &amp; Assumptions</t>
        </is>
      </c>
      <c r="C780" t="inlineStr">
        <is>
          <t>$H$24</t>
        </is>
      </c>
      <c r="D780" t="inlineStr">
        <is>
          <t>output</t>
        </is>
      </c>
      <c r="E780" t="inlineStr">
        <is>
          <t>pct</t>
        </is>
      </c>
      <c r="F780">
        <f>out_simple_return</f>
        <v/>
      </c>
      <c r="G780" t="inlineStr"/>
      <c r="H780" s="95" t="inlineStr">
        <is>
          <t>'=IF(OR('Summary &amp; Assumptions'!$H$6&lt;=0,'P&amp;L'!$Z$69&lt;=0),0,IFERROR(('Summary &amp; Assumptions'!$H$23-1)/MAX(1,'Summary &amp; Assumptions'!$C$23),0))</t>
        </is>
      </c>
    </row>
    <row r="781">
      <c r="A781" s="97" t="inlineStr">
        <is>
          <t>out_su_custom</t>
        </is>
      </c>
      <c r="B781" t="inlineStr">
        <is>
          <t>Summary &amp; Assumptions</t>
        </is>
      </c>
      <c r="C781" t="inlineStr">
        <is>
          <t>$C$70</t>
        </is>
      </c>
      <c r="D781" t="inlineStr">
        <is>
          <t>output</t>
        </is>
      </c>
      <c r="E781" t="inlineStr">
        <is>
          <t>currency</t>
        </is>
      </c>
      <c r="F781">
        <f>out_su_custom</f>
        <v/>
      </c>
      <c r="G781" t="inlineStr">
        <is>
          <t>Refi + Assumed + Custom Loans (at close)</t>
        </is>
      </c>
      <c r="H781" s="95" t="inlineStr">
        <is>
          <t>'=IF('Summary &amp; Assumptions'!$E$31="Yes",'Summary &amp; Assumptions'!$E$34,0)+IF('Summary &amp; Assumptions'!$F$31="Yes",'Summary &amp; Assumptions'!$F$34,0)+IF('Summary &amp; Assumptions'!$G$31="Yes",'Summary &amp; Assumptions'!$G$34,0)+IF('Summary &amp; Assumptions'!$H$31="Yes",'Summary &amp; Assumptions'!$H$34,0)</t>
        </is>
      </c>
    </row>
    <row r="782">
      <c r="A782" s="97" t="inlineStr">
        <is>
          <t>out_su_equity_at_close</t>
        </is>
      </c>
      <c r="B782" t="inlineStr">
        <is>
          <t>Summary &amp; Assumptions</t>
        </is>
      </c>
      <c r="C782" t="inlineStr">
        <is>
          <t>$C$74</t>
        </is>
      </c>
      <c r="D782" t="inlineStr">
        <is>
          <t>output</t>
        </is>
      </c>
      <c r="E782" t="inlineStr">
        <is>
          <t>currency</t>
        </is>
      </c>
      <c r="F782">
        <f>out_su_equity_at_close</f>
        <v/>
      </c>
      <c r="G782" t="inlineStr">
        <is>
          <t>Equity at Close (excludes renovation)</t>
        </is>
      </c>
      <c r="H782" s="95" t="inlineStr">
        <is>
          <t>'='Summary &amp; Assumptions'!$H$6+'Summary &amp; Assumptions'!$H$13+'Summary &amp; Assumptions'!$H$68+'Summary &amp; Assumptions'!$H$69-'Summary &amp; Assumptions'!$C$68-'Summary &amp; Assumptions'!$C$69-'Summary &amp; Assumptions'!$C$70</t>
        </is>
      </c>
    </row>
    <row r="783">
      <c r="A783" s="97" t="inlineStr">
        <is>
          <t>out_su_gp_equity</t>
        </is>
      </c>
      <c r="B783" t="inlineStr">
        <is>
          <t>Summary &amp; Assumptions</t>
        </is>
      </c>
      <c r="C783" t="inlineStr">
        <is>
          <t>$C$66</t>
        </is>
      </c>
      <c r="D783" t="inlineStr">
        <is>
          <t>output</t>
        </is>
      </c>
      <c r="E783" t="inlineStr">
        <is>
          <t>currency</t>
        </is>
      </c>
      <c r="F783">
        <f>out_su_gp_equity</f>
        <v/>
      </c>
      <c r="G783" t="inlineStr">
        <is>
          <t>GP Equity</t>
        </is>
      </c>
      <c r="H783" s="95" t="inlineStr">
        <is>
          <t>'=('Summary &amp; Assumptions'!$H$71-'Summary &amp; Assumptions'!$C$68-'Summary &amp; Assumptions'!$C$69-'Summary &amp; Assumptions'!$C$70)*'Investor Waterfall'!$C$6</t>
        </is>
      </c>
    </row>
    <row r="784">
      <c r="A784" s="97" t="inlineStr">
        <is>
          <t>out_su_lp_equity</t>
        </is>
      </c>
      <c r="B784" t="inlineStr">
        <is>
          <t>Summary &amp; Assumptions</t>
        </is>
      </c>
      <c r="C784" t="inlineStr">
        <is>
          <t>$C$67</t>
        </is>
      </c>
      <c r="D784" t="inlineStr">
        <is>
          <t>output</t>
        </is>
      </c>
      <c r="E784" t="inlineStr">
        <is>
          <t>currency</t>
        </is>
      </c>
      <c r="F784">
        <f>out_su_lp_equity</f>
        <v/>
      </c>
      <c r="G784" t="inlineStr">
        <is>
          <t>LP Equity</t>
        </is>
      </c>
      <c r="H784" s="95" t="inlineStr">
        <is>
          <t>'=('Summary &amp; Assumptions'!$H$71-'Summary &amp; Assumptions'!$C$68-'Summary &amp; Assumptions'!$C$69-'Summary &amp; Assumptions'!$C$70)*'Investor Waterfall'!$C$7</t>
        </is>
      </c>
    </row>
    <row r="785">
      <c r="A785" s="97" t="inlineStr">
        <is>
          <t>out_su_mezz</t>
        </is>
      </c>
      <c r="B785" t="inlineStr">
        <is>
          <t>Summary &amp; Assumptions</t>
        </is>
      </c>
      <c r="C785" t="inlineStr">
        <is>
          <t>$C$69</t>
        </is>
      </c>
      <c r="D785" t="inlineStr">
        <is>
          <t>output</t>
        </is>
      </c>
      <c r="E785" t="inlineStr">
        <is>
          <t>currency</t>
        </is>
      </c>
      <c r="F785">
        <f>out_su_mezz</f>
        <v/>
      </c>
      <c r="G785" t="inlineStr">
        <is>
          <t>Mezz Loan</t>
        </is>
      </c>
      <c r="H785" s="95" t="inlineStr">
        <is>
          <t>'=IF('Summary &amp; Assumptions'!$D$31="Yes",'Summary &amp; Assumptions'!$D$34,0)</t>
        </is>
      </c>
    </row>
    <row r="786">
      <c r="A786" s="97" t="inlineStr">
        <is>
          <t>out_su_senior</t>
        </is>
      </c>
      <c r="B786" t="inlineStr">
        <is>
          <t>Summary &amp; Assumptions</t>
        </is>
      </c>
      <c r="C786" t="inlineStr">
        <is>
          <t>$C$68</t>
        </is>
      </c>
      <c r="D786" t="inlineStr">
        <is>
          <t>output</t>
        </is>
      </c>
      <c r="E786" t="inlineStr">
        <is>
          <t>currency</t>
        </is>
      </c>
      <c r="F786">
        <f>out_su_senior</f>
        <v/>
      </c>
      <c r="G786" t="inlineStr">
        <is>
          <t>Senior Loan</t>
        </is>
      </c>
      <c r="H786" s="95" t="inlineStr">
        <is>
          <t>'=IF('Summary &amp; Assumptions'!$C$31="Yes",'Summary &amp; Assumptions'!$C$34,0)</t>
        </is>
      </c>
    </row>
    <row r="787">
      <c r="A787" s="97" t="inlineStr">
        <is>
          <t>out_su_total_equity</t>
        </is>
      </c>
      <c r="B787" t="inlineStr">
        <is>
          <t>Summary &amp; Assumptions</t>
        </is>
      </c>
      <c r="C787" t="inlineStr">
        <is>
          <t>$C$73</t>
        </is>
      </c>
      <c r="D787" t="inlineStr">
        <is>
          <t>output</t>
        </is>
      </c>
      <c r="E787" t="inlineStr">
        <is>
          <t>currency</t>
        </is>
      </c>
      <c r="F787">
        <f>out_su_total_equity</f>
        <v/>
      </c>
      <c r="G787" t="inlineStr">
        <is>
          <t>Total Equity Required (Uses − Debt)</t>
        </is>
      </c>
      <c r="H787" s="95" t="inlineStr">
        <is>
          <t>'=MAX(0,'Summary &amp; Assumptions'!$H$71-'Summary &amp; Assumptions'!$C$68-'Summary &amp; Assumptions'!$C$69-'Summary &amp; Assumptions'!$C$70)</t>
        </is>
      </c>
    </row>
    <row r="788">
      <c r="A788" s="97" t="inlineStr">
        <is>
          <t>out_su_total_sources</t>
        </is>
      </c>
      <c r="B788" t="inlineStr">
        <is>
          <t>Summary &amp; Assumptions</t>
        </is>
      </c>
      <c r="C788" t="inlineStr">
        <is>
          <t>$C$71</t>
        </is>
      </c>
      <c r="D788" t="inlineStr">
        <is>
          <t>output</t>
        </is>
      </c>
      <c r="E788" t="inlineStr">
        <is>
          <t>currency</t>
        </is>
      </c>
      <c r="F788">
        <f>out_su_total_sources</f>
        <v/>
      </c>
      <c r="G788" t="inlineStr">
        <is>
          <t>Total Sources</t>
        </is>
      </c>
      <c r="H788" s="95" t="inlineStr">
        <is>
          <t>'=SUM(C66:C70)</t>
        </is>
      </c>
    </row>
    <row r="789">
      <c r="A789" s="97" t="inlineStr">
        <is>
          <t>out_su_total_uses</t>
        </is>
      </c>
      <c r="B789" t="inlineStr">
        <is>
          <t>Summary &amp; Assumptions</t>
        </is>
      </c>
      <c r="C789" t="inlineStr">
        <is>
          <t>$H$71</t>
        </is>
      </c>
      <c r="D789" t="inlineStr">
        <is>
          <t>output</t>
        </is>
      </c>
      <c r="E789" t="inlineStr">
        <is>
          <t>currency</t>
        </is>
      </c>
      <c r="F789">
        <f>out_su_total_uses</f>
        <v/>
      </c>
      <c r="G789" t="inlineStr">
        <is>
          <t>Total Uses</t>
        </is>
      </c>
      <c r="H789" s="95" t="inlineStr">
        <is>
          <t>'=SUM(H66:H70)</t>
        </is>
      </c>
    </row>
    <row r="790">
      <c r="A790" s="97" t="inlineStr">
        <is>
          <t>out_t12_admin</t>
        </is>
      </c>
      <c r="B790" t="inlineStr">
        <is>
          <t>P&amp;L</t>
        </is>
      </c>
      <c r="C790" t="inlineStr">
        <is>
          <t>$U$45</t>
        </is>
      </c>
      <c r="D790" t="inlineStr">
        <is>
          <t>output</t>
        </is>
      </c>
      <c r="E790" t="inlineStr">
        <is>
          <t>currency</t>
        </is>
      </c>
      <c r="F790">
        <f>out_t12_admin</f>
        <v/>
      </c>
      <c r="G790" t="inlineStr">
        <is>
          <t>adjusted T12: Administrative</t>
        </is>
      </c>
      <c r="H790" s="95" t="inlineStr">
        <is>
          <t>'=IF($U$6="T9",IF(COUNT(D45:O45)&gt;0,Q45,P45),IF($U$6="T6",IF(COUNT(D45:O45)&gt;0,R45,P45),IF($U$6="T3",IF(COUNT(D45:O45)&gt;0,S45,P45),P45)))+T45</t>
        </is>
      </c>
    </row>
    <row r="791">
      <c r="A791" s="97" t="inlineStr">
        <is>
          <t>out_t12_bad_debt</t>
        </is>
      </c>
      <c r="B791" t="inlineStr">
        <is>
          <t>P&amp;L</t>
        </is>
      </c>
      <c r="C791" t="inlineStr">
        <is>
          <t>$U$13</t>
        </is>
      </c>
      <c r="D791" t="inlineStr">
        <is>
          <t>output</t>
        </is>
      </c>
      <c r="E791" t="inlineStr">
        <is>
          <t>currency</t>
        </is>
      </c>
      <c r="F791">
        <f>out_t12_bad_debt</f>
        <v/>
      </c>
      <c r="G791" t="inlineStr">
        <is>
          <t>adjusted T12: Bad Debt/Collection Loss</t>
        </is>
      </c>
      <c r="H791" s="95" t="inlineStr">
        <is>
          <t>'=IF($U$6="T9",IF(COUNT(D13:O13)&gt;0,Q13,P13),IF($U$6="T6",IF(COUNT(D13:O13)&gt;0,R13,P13),IF($U$6="T3",IF(COUNT(D13:O13)&gt;0,S13,P13),P13)))+T13</t>
        </is>
      </c>
    </row>
    <row r="792">
      <c r="A792" s="97" t="inlineStr">
        <is>
          <t>out_t12_commercial</t>
        </is>
      </c>
      <c r="B792" t="inlineStr">
        <is>
          <t>P&amp;L</t>
        </is>
      </c>
      <c r="C792" t="inlineStr">
        <is>
          <t>$U$20</t>
        </is>
      </c>
      <c r="D792" t="inlineStr">
        <is>
          <t>output</t>
        </is>
      </c>
      <c r="E792" t="inlineStr">
        <is>
          <t>currency</t>
        </is>
      </c>
      <c r="F792">
        <f>out_t12_commercial</f>
        <v/>
      </c>
      <c r="G792" t="inlineStr">
        <is>
          <t>adjusted T12: Commercial Rent</t>
        </is>
      </c>
      <c r="H792" s="95" t="inlineStr">
        <is>
          <t>'=IF($U$6="T9",IF(COUNT(D20:O20)&gt;0,Q20,P20),IF($U$6="T6",IF(COUNT(D20:O20)&gt;0,R20,P20),IF($U$6="T3",IF(COUNT(D20:O20)&gt;0,S20,P20),P20)))+T20</t>
        </is>
      </c>
    </row>
    <row r="793">
      <c r="A793" s="97" t="inlineStr">
        <is>
          <t>out_t12_concessions</t>
        </is>
      </c>
      <c r="B793" t="inlineStr">
        <is>
          <t>P&amp;L</t>
        </is>
      </c>
      <c r="C793" t="inlineStr">
        <is>
          <t>$U$12</t>
        </is>
      </c>
      <c r="D793" t="inlineStr">
        <is>
          <t>output</t>
        </is>
      </c>
      <c r="E793" t="inlineStr">
        <is>
          <t>currency</t>
        </is>
      </c>
      <c r="F793">
        <f>out_t12_concessions</f>
        <v/>
      </c>
      <c r="G793" t="inlineStr">
        <is>
          <t>adjusted T12: Concessions</t>
        </is>
      </c>
      <c r="H793" s="95" t="inlineStr">
        <is>
          <t>'=IF($U$6="T9",IF(COUNT(D12:O12)&gt;0,Q12,P12),IF($U$6="T6",IF(COUNT(D12:O12)&gt;0,R12,P12),IF($U$6="T3",IF(COUNT(D12:O12)&gt;0,S12,P12),P12)))+T12</t>
        </is>
      </c>
    </row>
    <row r="794">
      <c r="A794" s="97" t="inlineStr">
        <is>
          <t>out_t12_egr</t>
        </is>
      </c>
      <c r="B794" t="inlineStr">
        <is>
          <t>P&amp;L</t>
        </is>
      </c>
      <c r="C794" t="inlineStr">
        <is>
          <t>$U$28</t>
        </is>
      </c>
      <c r="D794" t="inlineStr">
        <is>
          <t>output</t>
        </is>
      </c>
      <c r="E794" t="inlineStr">
        <is>
          <t>currency</t>
        </is>
      </c>
      <c r="F794">
        <f>out_t12_egr</f>
        <v/>
      </c>
      <c r="G794" t="inlineStr">
        <is>
          <t>adjusted T12 total income</t>
        </is>
      </c>
      <c r="H794" s="95" t="inlineStr">
        <is>
          <t>'=U8+U14+U20+U21-U9-U10-U11-U12-U13</t>
        </is>
      </c>
    </row>
    <row r="795">
      <c r="A795" s="97" t="inlineStr">
        <is>
          <t>out_t12_gpr</t>
        </is>
      </c>
      <c r="B795" t="inlineStr">
        <is>
          <t>P&amp;L</t>
        </is>
      </c>
      <c r="C795" t="inlineStr">
        <is>
          <t>$U$8</t>
        </is>
      </c>
      <c r="D795" t="inlineStr">
        <is>
          <t>output</t>
        </is>
      </c>
      <c r="E795" t="inlineStr">
        <is>
          <t>currency</t>
        </is>
      </c>
      <c r="F795">
        <f>out_t12_gpr</f>
        <v/>
      </c>
      <c r="G795" t="inlineStr">
        <is>
          <t>adjusted T12: Residential Income (GPR)</t>
        </is>
      </c>
      <c r="H795" s="95" t="inlineStr">
        <is>
          <t>'=IF($U$6="T9",IF(COUNT(D8:O8)&gt;0,Q8,P8),IF($U$6="T6",IF(COUNT(D8:O8)&gt;0,R8,P8),IF($U$6="T3",IF(COUNT(D8:O8)&gt;0,S8,P8),P8)))+T8</t>
        </is>
      </c>
    </row>
    <row r="796">
      <c r="A796" s="97" t="inlineStr">
        <is>
          <t>out_t12_insurance</t>
        </is>
      </c>
      <c r="B796" t="inlineStr">
        <is>
          <t>P&amp;L</t>
        </is>
      </c>
      <c r="C796" t="inlineStr">
        <is>
          <t>$U$32</t>
        </is>
      </c>
      <c r="D796" t="inlineStr">
        <is>
          <t>output</t>
        </is>
      </c>
      <c r="E796" t="inlineStr">
        <is>
          <t>currency</t>
        </is>
      </c>
      <c r="F796">
        <f>out_t12_insurance</f>
        <v/>
      </c>
      <c r="G796" t="inlineStr">
        <is>
          <t>adjusted T12: Insurance</t>
        </is>
      </c>
      <c r="H796" s="95" t="inlineStr">
        <is>
          <t>'=IF($U$6="T9",IF(COUNT(D32:O32)&gt;0,Q32,P32),IF($U$6="T6",IF(COUNT(D32:O32)&gt;0,R32,P32),IF($U$6="T3",IF(COUNT(D32:O32)&gt;0,S32,P32),P32)))+T32</t>
        </is>
      </c>
    </row>
    <row r="797">
      <c r="A797" s="97" t="inlineStr">
        <is>
          <t>out_t12_ltl</t>
        </is>
      </c>
      <c r="B797" t="inlineStr">
        <is>
          <t>P&amp;L</t>
        </is>
      </c>
      <c r="C797" t="inlineStr">
        <is>
          <t>$U$9</t>
        </is>
      </c>
      <c r="D797" t="inlineStr">
        <is>
          <t>output</t>
        </is>
      </c>
      <c r="E797" t="inlineStr">
        <is>
          <t>currency</t>
        </is>
      </c>
      <c r="F797">
        <f>out_t12_ltl</f>
        <v/>
      </c>
      <c r="G797" t="inlineStr">
        <is>
          <t>adjusted T12: Loss to Lease</t>
        </is>
      </c>
      <c r="H797" s="95" t="inlineStr">
        <is>
          <t>'=IF($U$6="T9",IF(COUNT(D9:O9)&gt;0,Q9,P9),IF($U$6="T6",IF(COUNT(D9:O9)&gt;0,R9,P9),IF($U$6="T3",IF(COUNT(D9:O9)&gt;0,S9,P9),P9)))+T9</t>
        </is>
      </c>
    </row>
    <row r="798">
      <c r="A798" s="97" t="inlineStr">
        <is>
          <t>out_t12_marketing</t>
        </is>
      </c>
      <c r="B798" t="inlineStr">
        <is>
          <t>P&amp;L</t>
        </is>
      </c>
      <c r="C798" t="inlineStr">
        <is>
          <t>$U$44</t>
        </is>
      </c>
      <c r="D798" t="inlineStr">
        <is>
          <t>output</t>
        </is>
      </c>
      <c r="E798" t="inlineStr">
        <is>
          <t>currency</t>
        </is>
      </c>
      <c r="F798">
        <f>out_t12_marketing</f>
        <v/>
      </c>
      <c r="G798" t="inlineStr">
        <is>
          <t>adjusted T12: Marketing/Advertising</t>
        </is>
      </c>
      <c r="H798" s="95" t="inlineStr">
        <is>
          <t>'=IF($U$6="T9",IF(COUNT(D44:O44)&gt;0,Q44,P44),IF($U$6="T6",IF(COUNT(D44:O44)&gt;0,R44,P44),IF($U$6="T3",IF(COUNT(D44:O44)&gt;0,S44,P44),P44)))+T44</t>
        </is>
      </c>
    </row>
    <row r="799">
      <c r="A799" s="97" t="inlineStr">
        <is>
          <t>out_t12_mgmt</t>
        </is>
      </c>
      <c r="B799" t="inlineStr">
        <is>
          <t>P&amp;L</t>
        </is>
      </c>
      <c r="C799" t="inlineStr">
        <is>
          <t>$U$46</t>
        </is>
      </c>
      <c r="D799" t="inlineStr">
        <is>
          <t>output</t>
        </is>
      </c>
      <c r="E799" t="inlineStr">
        <is>
          <t>currency</t>
        </is>
      </c>
      <c r="F799">
        <f>out_t12_mgmt</f>
        <v/>
      </c>
      <c r="G799" t="inlineStr">
        <is>
          <t>adjusted T12: Property Management</t>
        </is>
      </c>
      <c r="H799" s="95" t="inlineStr">
        <is>
          <t>'=IF($U$6="T9",IF(COUNT(D46:O46)&gt;0,Q46,P46),IF($U$6="T6",IF(COUNT(D46:O46)&gt;0,R46,P46),IF($U$6="T3",IF(COUNT(D46:O46)&gt;0,S46,P46),P46)))+T46</t>
        </is>
      </c>
    </row>
    <row r="800">
      <c r="A800" s="97" t="inlineStr">
        <is>
          <t>out_t12_noi</t>
        </is>
      </c>
      <c r="B800" t="inlineStr">
        <is>
          <t>P&amp;L</t>
        </is>
      </c>
      <c r="C800" t="inlineStr">
        <is>
          <t>$U$69</t>
        </is>
      </c>
      <c r="D800" t="inlineStr">
        <is>
          <t>output</t>
        </is>
      </c>
      <c r="E800" t="inlineStr">
        <is>
          <t>currency</t>
        </is>
      </c>
      <c r="F800">
        <f>out_t12_noi</f>
        <v/>
      </c>
      <c r="G800" t="inlineStr">
        <is>
          <t>adjusted T12 NOI</t>
        </is>
      </c>
      <c r="H800" s="95" t="inlineStr">
        <is>
          <t>'=U28-U67</t>
        </is>
      </c>
    </row>
    <row r="801">
      <c r="A801" s="97" t="inlineStr">
        <is>
          <t>out_t12_nonrev</t>
        </is>
      </c>
      <c r="B801" t="inlineStr">
        <is>
          <t>P&amp;L</t>
        </is>
      </c>
      <c r="C801" t="inlineStr">
        <is>
          <t>$U$11</t>
        </is>
      </c>
      <c r="D801" t="inlineStr">
        <is>
          <t>output</t>
        </is>
      </c>
      <c r="E801" t="inlineStr">
        <is>
          <t>currency</t>
        </is>
      </c>
      <c r="F801">
        <f>out_t12_nonrev</f>
        <v/>
      </c>
      <c r="G801" t="inlineStr">
        <is>
          <t>adjusted T12: Non-Revenue Units</t>
        </is>
      </c>
      <c r="H801" s="95" t="inlineStr">
        <is>
          <t>'=IF($U$6="T9",IF(COUNT(D11:O11)&gt;0,Q11,P11),IF($U$6="T6",IF(COUNT(D11:O11)&gt;0,R11,P11),IF($U$6="T3",IF(COUNT(D11:O11)&gt;0,S11,P11),P11)))+T11</t>
        </is>
      </c>
    </row>
    <row r="802">
      <c r="A802" s="97" t="inlineStr">
        <is>
          <t>out_t12_oth_fees</t>
        </is>
      </c>
      <c r="B802" t="inlineStr">
        <is>
          <t>P&amp;L</t>
        </is>
      </c>
      <c r="C802" t="inlineStr">
        <is>
          <t>$U$25</t>
        </is>
      </c>
      <c r="D802" t="inlineStr">
        <is>
          <t>output</t>
        </is>
      </c>
      <c r="E802" t="inlineStr">
        <is>
          <t>currency</t>
        </is>
      </c>
      <c r="F802">
        <f>out_t12_oth_fees</f>
        <v/>
      </c>
      <c r="G802" t="inlineStr">
        <is>
          <t>adjusted T12: Other Income - App/Admin/Late Fees</t>
        </is>
      </c>
      <c r="H802" s="95" t="inlineStr">
        <is>
          <t>'=IF($U$6="T9",IF(COUNT(D25:O25)&gt;0,Q25,P25),IF($U$6="T6",IF(COUNT(D25:O25)&gt;0,R25,P25),IF($U$6="T3",IF(COUNT(D25:O25)&gt;0,S25,P25),P25)))+T25</t>
        </is>
      </c>
    </row>
    <row r="803">
      <c r="A803" s="97" t="inlineStr">
        <is>
          <t>out_t12_oth_general</t>
        </is>
      </c>
      <c r="B803" t="inlineStr">
        <is>
          <t>P&amp;L</t>
        </is>
      </c>
      <c r="C803" t="inlineStr">
        <is>
          <t>$U$22</t>
        </is>
      </c>
      <c r="D803" t="inlineStr">
        <is>
          <t>output</t>
        </is>
      </c>
      <c r="E803" t="inlineStr">
        <is>
          <t>currency</t>
        </is>
      </c>
      <c r="F803">
        <f>out_t12_oth_general</f>
        <v/>
      </c>
      <c r="G803" t="inlineStr">
        <is>
          <t>adjusted T12: Other Income - General</t>
        </is>
      </c>
      <c r="H803" s="95" t="inlineStr">
        <is>
          <t>'=IF($U$6="T9",IF(COUNT(D22:O22)&gt;0,Q22,P22),IF($U$6="T6",IF(COUNT(D22:O22)&gt;0,R22,P22),IF($U$6="T3",IF(COUNT(D22:O22)&gt;0,S22,P22),P22)))+T22</t>
        </is>
      </c>
    </row>
    <row r="804">
      <c r="A804" s="97" t="inlineStr">
        <is>
          <t>out_t12_oth_laundry</t>
        </is>
      </c>
      <c r="B804" t="inlineStr">
        <is>
          <t>P&amp;L</t>
        </is>
      </c>
      <c r="C804" t="inlineStr">
        <is>
          <t>$U$27</t>
        </is>
      </c>
      <c r="D804" t="inlineStr">
        <is>
          <t>output</t>
        </is>
      </c>
      <c r="E804" t="inlineStr">
        <is>
          <t>currency</t>
        </is>
      </c>
      <c r="F804">
        <f>out_t12_oth_laundry</f>
        <v/>
      </c>
      <c r="G804" t="inlineStr">
        <is>
          <t>adjusted T12: Other Income - Laundry/Vending</t>
        </is>
      </c>
      <c r="H804" s="95" t="inlineStr">
        <is>
          <t>'=IF($U$6="T9",IF(COUNT(D27:O27)&gt;0,Q27,P27),IF($U$6="T6",IF(COUNT(D27:O27)&gt;0,R27,P27),IF($U$6="T3",IF(COUNT(D27:O27)&gt;0,S27,P27),P27)))+T27</t>
        </is>
      </c>
    </row>
    <row r="805">
      <c r="A805" s="97" t="inlineStr">
        <is>
          <t>out_t12_oth_parking</t>
        </is>
      </c>
      <c r="B805" t="inlineStr">
        <is>
          <t>P&amp;L</t>
        </is>
      </c>
      <c r="C805" t="inlineStr">
        <is>
          <t>$U$23</t>
        </is>
      </c>
      <c r="D805" t="inlineStr">
        <is>
          <t>output</t>
        </is>
      </c>
      <c r="E805" t="inlineStr">
        <is>
          <t>currency</t>
        </is>
      </c>
      <c r="F805">
        <f>out_t12_oth_parking</f>
        <v/>
      </c>
      <c r="G805" t="inlineStr">
        <is>
          <t>adjusted T12: Other Income - Parking Income</t>
        </is>
      </c>
      <c r="H805" s="95" t="inlineStr">
        <is>
          <t>'=IF($U$6="T9",IF(COUNT(D23:O23)&gt;0,Q23,P23),IF($U$6="T6",IF(COUNT(D23:O23)&gt;0,R23,P23),IF($U$6="T3",IF(COUNT(D23:O23)&gt;0,S23,P23),P23)))+T23</t>
        </is>
      </c>
    </row>
    <row r="806">
      <c r="A806" s="97" t="inlineStr">
        <is>
          <t>out_t12_oth_pet</t>
        </is>
      </c>
      <c r="B806" t="inlineStr">
        <is>
          <t>P&amp;L</t>
        </is>
      </c>
      <c r="C806" t="inlineStr">
        <is>
          <t>$U$24</t>
        </is>
      </c>
      <c r="D806" t="inlineStr">
        <is>
          <t>output</t>
        </is>
      </c>
      <c r="E806" t="inlineStr">
        <is>
          <t>currency</t>
        </is>
      </c>
      <c r="F806">
        <f>out_t12_oth_pet</f>
        <v/>
      </c>
      <c r="G806" t="inlineStr">
        <is>
          <t>adjusted T12: Other Income - Pet Rent/Fees</t>
        </is>
      </c>
      <c r="H806" s="95" t="inlineStr">
        <is>
          <t>'=IF($U$6="T9",IF(COUNT(D24:O24)&gt;0,Q24,P24),IF($U$6="T6",IF(COUNT(D24:O24)&gt;0,R24,P24),IF($U$6="T3",IF(COUNT(D24:O24)&gt;0,S24,P24),P24)))+T24</t>
        </is>
      </c>
    </row>
    <row r="807">
      <c r="A807" s="97" t="inlineStr">
        <is>
          <t>out_t12_oth_storage</t>
        </is>
      </c>
      <c r="B807" t="inlineStr">
        <is>
          <t>P&amp;L</t>
        </is>
      </c>
      <c r="C807" t="inlineStr">
        <is>
          <t>$U$26</t>
        </is>
      </c>
      <c r="D807" t="inlineStr">
        <is>
          <t>output</t>
        </is>
      </c>
      <c r="E807" t="inlineStr">
        <is>
          <t>currency</t>
        </is>
      </c>
      <c r="F807">
        <f>out_t12_oth_storage</f>
        <v/>
      </c>
      <c r="G807" t="inlineStr">
        <is>
          <t>adjusted T12: Other Income - Storage</t>
        </is>
      </c>
      <c r="H807" s="95" t="inlineStr">
        <is>
          <t>'=IF($U$6="T9",IF(COUNT(D26:O26)&gt;0,Q26,P26),IF($U$6="T6",IF(COUNT(D26:O26)&gt;0,R26,P26),IF($U$6="T3",IF(COUNT(D26:O26)&gt;0,S26,P26),P26)))+T26</t>
        </is>
      </c>
    </row>
    <row r="808">
      <c r="A808" s="97" t="inlineStr">
        <is>
          <t>out_t12_other</t>
        </is>
      </c>
      <c r="B808" t="inlineStr">
        <is>
          <t>P&amp;L</t>
        </is>
      </c>
      <c r="C808" t="inlineStr">
        <is>
          <t>$U$21</t>
        </is>
      </c>
      <c r="D808" t="inlineStr">
        <is>
          <t>output</t>
        </is>
      </c>
      <c r="E808" t="inlineStr">
        <is>
          <t>currency</t>
        </is>
      </c>
      <c r="F808">
        <f>out_t12_other</f>
        <v/>
      </c>
      <c r="G808" t="inlineStr">
        <is>
          <t>adjusted T12: Other Income</t>
        </is>
      </c>
      <c r="H808" s="95" t="inlineStr">
        <is>
          <t>'=IF($U$6="T9",IF(COUNT(D21:O21)&gt;0,Q21,P21),IF($U$6="T6",IF(COUNT(D21:O21)&gt;0,R21,P21),IF($U$6="T3",IF(COUNT(D21:O21)&gt;0,S21,P21),P21)))+T21</t>
        </is>
      </c>
    </row>
    <row r="809">
      <c r="A809" s="97" t="inlineStr">
        <is>
          <t>out_t12_reimb</t>
        </is>
      </c>
      <c r="B809" t="inlineStr">
        <is>
          <t>P&amp;L</t>
        </is>
      </c>
      <c r="C809" t="inlineStr">
        <is>
          <t>$U$14</t>
        </is>
      </c>
      <c r="D809" t="inlineStr">
        <is>
          <t>output</t>
        </is>
      </c>
      <c r="E809" t="inlineStr">
        <is>
          <t>currency</t>
        </is>
      </c>
      <c r="F809">
        <f>out_t12_reimb</f>
        <v/>
      </c>
      <c r="G809" t="inlineStr">
        <is>
          <t>adjusted T12: Reimbursements (RUBS)</t>
        </is>
      </c>
      <c r="H809" s="95" t="inlineStr">
        <is>
          <t>'=IF($U$6="T9",IF(COUNT(D14:O14)&gt;0,Q14,P14),IF($U$6="T6",IF(COUNT(D14:O14)&gt;0,R14,P14),IF($U$6="T3",IF(COUNT(D14:O14)&gt;0,S14,P14),P14)))+T14</t>
        </is>
      </c>
    </row>
    <row r="810">
      <c r="A810" s="97" t="inlineStr">
        <is>
          <t>out_t12_reimb_electric</t>
        </is>
      </c>
      <c r="B810" t="inlineStr">
        <is>
          <t>P&amp;L</t>
        </is>
      </c>
      <c r="C810" t="inlineStr">
        <is>
          <t>$U$16</t>
        </is>
      </c>
      <c r="D810" t="inlineStr">
        <is>
          <t>output</t>
        </is>
      </c>
      <c r="E810" t="inlineStr">
        <is>
          <t>currency</t>
        </is>
      </c>
      <c r="F810">
        <f>out_t12_reimb_electric</f>
        <v/>
      </c>
      <c r="G810" t="inlineStr">
        <is>
          <t>adjusted T12: Reimbursements (RUBS) - Electric</t>
        </is>
      </c>
      <c r="H810" s="95" t="inlineStr">
        <is>
          <t>'=IF($U$6="T9",IF(COUNT(D16:O16)&gt;0,Q16,P16),IF($U$6="T6",IF(COUNT(D16:O16)&gt;0,R16,P16),IF($U$6="T3",IF(COUNT(D16:O16)&gt;0,S16,P16),P16)))+T16</t>
        </is>
      </c>
    </row>
    <row r="811">
      <c r="A811" s="97" t="inlineStr">
        <is>
          <t>out_t12_reimb_gas</t>
        </is>
      </c>
      <c r="B811" t="inlineStr">
        <is>
          <t>P&amp;L</t>
        </is>
      </c>
      <c r="C811" t="inlineStr">
        <is>
          <t>$U$18</t>
        </is>
      </c>
      <c r="D811" t="inlineStr">
        <is>
          <t>output</t>
        </is>
      </c>
      <c r="E811" t="inlineStr">
        <is>
          <t>currency</t>
        </is>
      </c>
      <c r="F811">
        <f>out_t12_reimb_gas</f>
        <v/>
      </c>
      <c r="G811" t="inlineStr">
        <is>
          <t>adjusted T12: Reimbursements (RUBS) - Gas</t>
        </is>
      </c>
      <c r="H811" s="95" t="inlineStr">
        <is>
          <t>'=IF($U$6="T9",IF(COUNT(D18:O18)&gt;0,Q18,P18),IF($U$6="T6",IF(COUNT(D18:O18)&gt;0,R18,P18),IF($U$6="T3",IF(COUNT(D18:O18)&gt;0,S18,P18),P18)))+T18</t>
        </is>
      </c>
    </row>
    <row r="812">
      <c r="A812" s="97" t="inlineStr">
        <is>
          <t>out_t12_reimb_general</t>
        </is>
      </c>
      <c r="B812" t="inlineStr">
        <is>
          <t>P&amp;L</t>
        </is>
      </c>
      <c r="C812" t="inlineStr">
        <is>
          <t>$U$15</t>
        </is>
      </c>
      <c r="D812" t="inlineStr">
        <is>
          <t>output</t>
        </is>
      </c>
      <c r="E812" t="inlineStr">
        <is>
          <t>currency</t>
        </is>
      </c>
      <c r="F812">
        <f>out_t12_reimb_general</f>
        <v/>
      </c>
      <c r="G812" t="inlineStr">
        <is>
          <t>adjusted T12: Reimbursements (RUBS) - General</t>
        </is>
      </c>
      <c r="H812" s="95" t="inlineStr">
        <is>
          <t>'=IF($U$6="T9",IF(COUNT(D15:O15)&gt;0,Q15,P15),IF($U$6="T6",IF(COUNT(D15:O15)&gt;0,R15,P15),IF($U$6="T3",IF(COUNT(D15:O15)&gt;0,S15,P15),P15)))+T15</t>
        </is>
      </c>
    </row>
    <row r="813">
      <c r="A813" s="97" t="inlineStr">
        <is>
          <t>out_t12_reimb_trash</t>
        </is>
      </c>
      <c r="B813" t="inlineStr">
        <is>
          <t>P&amp;L</t>
        </is>
      </c>
      <c r="C813" t="inlineStr">
        <is>
          <t>$U$19</t>
        </is>
      </c>
      <c r="D813" t="inlineStr">
        <is>
          <t>output</t>
        </is>
      </c>
      <c r="E813" t="inlineStr">
        <is>
          <t>currency</t>
        </is>
      </c>
      <c r="F813">
        <f>out_t12_reimb_trash</f>
        <v/>
      </c>
      <c r="G813" t="inlineStr">
        <is>
          <t>adjusted T12: Reimbursements (RUBS) - Trash</t>
        </is>
      </c>
      <c r="H813" s="95" t="inlineStr">
        <is>
          <t>'=IF($U$6="T9",IF(COUNT(D19:O19)&gt;0,Q19,P19),IF($U$6="T6",IF(COUNT(D19:O19)&gt;0,R19,P19),IF($U$6="T3",IF(COUNT(D19:O19)&gt;0,S19,P19),P19)))+T19</t>
        </is>
      </c>
    </row>
    <row r="814">
      <c r="A814" s="97" t="inlineStr">
        <is>
          <t>out_t12_reimb_water</t>
        </is>
      </c>
      <c r="B814" t="inlineStr">
        <is>
          <t>P&amp;L</t>
        </is>
      </c>
      <c r="C814" t="inlineStr">
        <is>
          <t>$U$17</t>
        </is>
      </c>
      <c r="D814" t="inlineStr">
        <is>
          <t>output</t>
        </is>
      </c>
      <c r="E814" t="inlineStr">
        <is>
          <t>currency</t>
        </is>
      </c>
      <c r="F814">
        <f>out_t12_reimb_water</f>
        <v/>
      </c>
      <c r="G814" t="inlineStr">
        <is>
          <t>adjusted T12: Reimbursements (RUBS) - Water/Sewer</t>
        </is>
      </c>
      <c r="H814" s="95" t="inlineStr">
        <is>
          <t>'=IF($U$6="T9",IF(COUNT(D17:O17)&gt;0,Q17,P17),IF($U$6="T6",IF(COUNT(D17:O17)&gt;0,R17,P17),IF($U$6="T3",IF(COUNT(D17:O17)&gt;0,S17,P17),P17)))+T17</t>
        </is>
      </c>
    </row>
    <row r="815">
      <c r="A815" s="97" t="inlineStr">
        <is>
          <t>out_t12_rm</t>
        </is>
      </c>
      <c r="B815" t="inlineStr">
        <is>
          <t>P&amp;L</t>
        </is>
      </c>
      <c r="C815" t="inlineStr">
        <is>
          <t>$U$34</t>
        </is>
      </c>
      <c r="D815" t="inlineStr">
        <is>
          <t>output</t>
        </is>
      </c>
      <c r="E815" t="inlineStr">
        <is>
          <t>currency</t>
        </is>
      </c>
      <c r="F815">
        <f>out_t12_rm</f>
        <v/>
      </c>
      <c r="G815" t="inlineStr">
        <is>
          <t>adjusted T12: Repairs and Maintenance</t>
        </is>
      </c>
      <c r="H815" s="95" t="inlineStr">
        <is>
          <t>'=IF($U$6="T9",IF(COUNT(D34:O34)&gt;0,Q34,P34),IF($U$6="T6",IF(COUNT(D34:O34)&gt;0,R34,P34),IF($U$6="T3",IF(COUNT(D34:O34)&gt;0,S34,P34),P34)))+T34</t>
        </is>
      </c>
    </row>
    <row r="816">
      <c r="A816" s="97" t="inlineStr">
        <is>
          <t>out_t12_rm_contract</t>
        </is>
      </c>
      <c r="B816" t="inlineStr">
        <is>
          <t>P&amp;L</t>
        </is>
      </c>
      <c r="C816" t="inlineStr">
        <is>
          <t>$U$36</t>
        </is>
      </c>
      <c r="D816" t="inlineStr">
        <is>
          <t>output</t>
        </is>
      </c>
      <c r="E816" t="inlineStr">
        <is>
          <t>currency</t>
        </is>
      </c>
      <c r="F816">
        <f>out_t12_rm_contract</f>
        <v/>
      </c>
      <c r="G816" t="inlineStr">
        <is>
          <t>adjusted T12: Repairs and Maintenance - Contract Services</t>
        </is>
      </c>
      <c r="H816" s="95" t="inlineStr">
        <is>
          <t>'=IF($U$6="T9",IF(COUNT(D36:O36)&gt;0,Q36,P36),IF($U$6="T6",IF(COUNT(D36:O36)&gt;0,R36,P36),IF($U$6="T3",IF(COUNT(D36:O36)&gt;0,S36,P36),P36)))+T36</t>
        </is>
      </c>
    </row>
    <row r="817">
      <c r="A817" s="97" t="inlineStr">
        <is>
          <t>out_t12_rm_general</t>
        </is>
      </c>
      <c r="B817" t="inlineStr">
        <is>
          <t>P&amp;L</t>
        </is>
      </c>
      <c r="C817" t="inlineStr">
        <is>
          <t>$U$35</t>
        </is>
      </c>
      <c r="D817" t="inlineStr">
        <is>
          <t>output</t>
        </is>
      </c>
      <c r="E817" t="inlineStr">
        <is>
          <t>currency</t>
        </is>
      </c>
      <c r="F817">
        <f>out_t12_rm_general</f>
        <v/>
      </c>
      <c r="G817" t="inlineStr">
        <is>
          <t>adjusted T12: Repairs and Maintenance - General</t>
        </is>
      </c>
      <c r="H817" s="95" t="inlineStr">
        <is>
          <t>'=IF($U$6="T9",IF(COUNT(D35:O35)&gt;0,Q35,P35),IF($U$6="T6",IF(COUNT(D35:O35)&gt;0,R35,P35),IF($U$6="T3",IF(COUNT(D35:O35)&gt;0,S35,P35),P35)))+T35</t>
        </is>
      </c>
    </row>
    <row r="818">
      <c r="A818" s="97" t="inlineStr">
        <is>
          <t>out_t12_rm_turnover</t>
        </is>
      </c>
      <c r="B818" t="inlineStr">
        <is>
          <t>P&amp;L</t>
        </is>
      </c>
      <c r="C818" t="inlineStr">
        <is>
          <t>$U$37</t>
        </is>
      </c>
      <c r="D818" t="inlineStr">
        <is>
          <t>output</t>
        </is>
      </c>
      <c r="E818" t="inlineStr">
        <is>
          <t>currency</t>
        </is>
      </c>
      <c r="F818">
        <f>out_t12_rm_turnover</f>
        <v/>
      </c>
      <c r="G818" t="inlineStr">
        <is>
          <t>adjusted T12: Repairs and Maintenance - Turnover</t>
        </is>
      </c>
      <c r="H818" s="95" t="inlineStr">
        <is>
          <t>'=IF($U$6="T9",IF(COUNT(D37:O37)&gt;0,Q37,P37),IF($U$6="T6",IF(COUNT(D37:O37)&gt;0,R37,P37),IF($U$6="T3",IF(COUNT(D37:O37)&gt;0,S37,P37),P37)))+T37</t>
        </is>
      </c>
    </row>
    <row r="819">
      <c r="A819" s="97" t="inlineStr">
        <is>
          <t>out_t12_salaries</t>
        </is>
      </c>
      <c r="B819" t="inlineStr">
        <is>
          <t>P&amp;L</t>
        </is>
      </c>
      <c r="C819" t="inlineStr">
        <is>
          <t>$U$33</t>
        </is>
      </c>
      <c r="D819" t="inlineStr">
        <is>
          <t>output</t>
        </is>
      </c>
      <c r="E819" t="inlineStr">
        <is>
          <t>currency</t>
        </is>
      </c>
      <c r="F819">
        <f>out_t12_salaries</f>
        <v/>
      </c>
      <c r="G819" t="inlineStr">
        <is>
          <t>adjusted T12: Salaries</t>
        </is>
      </c>
      <c r="H819" s="95" t="inlineStr">
        <is>
          <t>'=IF($U$6="T9",IF(COUNT(D33:O33)&gt;0,Q33,P33),IF($U$6="T6",IF(COUNT(D33:O33)&gt;0,R33,P33),IF($U$6="T3",IF(COUNT(D33:O33)&gt;0,S33,P33),P33)))+T33</t>
        </is>
      </c>
    </row>
    <row r="820">
      <c r="A820" s="97" t="inlineStr">
        <is>
          <t>out_t12_taxes</t>
        </is>
      </c>
      <c r="B820" t="inlineStr">
        <is>
          <t>P&amp;L</t>
        </is>
      </c>
      <c r="C820" t="inlineStr">
        <is>
          <t>$U$31</t>
        </is>
      </c>
      <c r="D820" t="inlineStr">
        <is>
          <t>output</t>
        </is>
      </c>
      <c r="E820" t="inlineStr">
        <is>
          <t>currency</t>
        </is>
      </c>
      <c r="F820">
        <f>out_t12_taxes</f>
        <v/>
      </c>
      <c r="G820" t="inlineStr">
        <is>
          <t>adjusted T12: Real Estate Taxes</t>
        </is>
      </c>
      <c r="H820" s="95" t="inlineStr">
        <is>
          <t>'=IF($U$6="T9",IF(COUNT(D31:O31)&gt;0,Q31,P31),IF($U$6="T6",IF(COUNT(D31:O31)&gt;0,R31,P31),IF($U$6="T3",IF(COUNT(D31:O31)&gt;0,S31,P31),P31)))+T31</t>
        </is>
      </c>
    </row>
    <row r="821">
      <c r="A821" s="97" t="inlineStr">
        <is>
          <t>out_t12_total_expenses</t>
        </is>
      </c>
      <c r="B821" t="inlineStr">
        <is>
          <t>P&amp;L</t>
        </is>
      </c>
      <c r="C821" t="inlineStr">
        <is>
          <t>$U$67</t>
        </is>
      </c>
      <c r="D821" t="inlineStr">
        <is>
          <t>output</t>
        </is>
      </c>
      <c r="E821" t="inlineStr">
        <is>
          <t>currency</t>
        </is>
      </c>
      <c r="F821">
        <f>out_t12_total_expenses</f>
        <v/>
      </c>
      <c r="G821" t="inlineStr"/>
      <c r="H821" s="95" t="inlineStr">
        <is>
          <t>'=U31+U32+U33+U34+U38+U44+U45+U46+U47</t>
        </is>
      </c>
    </row>
    <row r="822">
      <c r="A822" s="97" t="inlineStr">
        <is>
          <t>out_t12_unmapped</t>
        </is>
      </c>
      <c r="B822" t="inlineStr">
        <is>
          <t>P&amp;L</t>
        </is>
      </c>
      <c r="C822" t="inlineStr">
        <is>
          <t>$U$47</t>
        </is>
      </c>
      <c r="D822" t="inlineStr">
        <is>
          <t>output</t>
        </is>
      </c>
      <c r="E822" t="inlineStr">
        <is>
          <t>currency</t>
        </is>
      </c>
      <c r="F822">
        <f>out_t12_unmapped</f>
        <v/>
      </c>
      <c r="G822" t="inlineStr">
        <is>
          <t>adjusted T12: Other / Unmapped</t>
        </is>
      </c>
      <c r="H822" s="95" t="inlineStr">
        <is>
          <t>'=IF($U$6="T9",IF(COUNT(D47:O47)&gt;0,Q47,P47),IF($U$6="T6",IF(COUNT(D47:O47)&gt;0,R47,P47),IF($U$6="T3",IF(COUNT(D47:O47)&gt;0,S47,P47),P47)))+T47</t>
        </is>
      </c>
    </row>
    <row r="823">
      <c r="A823" s="97" t="inlineStr">
        <is>
          <t>out_t12_util_electric</t>
        </is>
      </c>
      <c r="B823" t="inlineStr">
        <is>
          <t>P&amp;L</t>
        </is>
      </c>
      <c r="C823" t="inlineStr">
        <is>
          <t>$U$40</t>
        </is>
      </c>
      <c r="D823" t="inlineStr">
        <is>
          <t>output</t>
        </is>
      </c>
      <c r="E823" t="inlineStr">
        <is>
          <t>currency</t>
        </is>
      </c>
      <c r="F823">
        <f>out_t12_util_electric</f>
        <v/>
      </c>
      <c r="G823" t="inlineStr">
        <is>
          <t>adjusted T12: Utilities - Electric</t>
        </is>
      </c>
      <c r="H823" s="95" t="inlineStr">
        <is>
          <t>'=IF($U$6="T9",IF(COUNT(D40:O40)&gt;0,Q40,P40),IF($U$6="T6",IF(COUNT(D40:O40)&gt;0,R40,P40),IF($U$6="T3",IF(COUNT(D40:O40)&gt;0,S40,P40),P40)))+T40</t>
        </is>
      </c>
    </row>
    <row r="824">
      <c r="A824" s="97" t="inlineStr">
        <is>
          <t>out_t12_util_gas</t>
        </is>
      </c>
      <c r="B824" t="inlineStr">
        <is>
          <t>P&amp;L</t>
        </is>
      </c>
      <c r="C824" t="inlineStr">
        <is>
          <t>$U$42</t>
        </is>
      </c>
      <c r="D824" t="inlineStr">
        <is>
          <t>output</t>
        </is>
      </c>
      <c r="E824" t="inlineStr">
        <is>
          <t>currency</t>
        </is>
      </c>
      <c r="F824">
        <f>out_t12_util_gas</f>
        <v/>
      </c>
      <c r="G824" t="inlineStr">
        <is>
          <t>adjusted T12: Utilities - Gas</t>
        </is>
      </c>
      <c r="H824" s="95" t="inlineStr">
        <is>
          <t>'=IF($U$6="T9",IF(COUNT(D42:O42)&gt;0,Q42,P42),IF($U$6="T6",IF(COUNT(D42:O42)&gt;0,R42,P42),IF($U$6="T3",IF(COUNT(D42:O42)&gt;0,S42,P42),P42)))+T42</t>
        </is>
      </c>
    </row>
    <row r="825">
      <c r="A825" s="97" t="inlineStr">
        <is>
          <t>out_t12_util_general</t>
        </is>
      </c>
      <c r="B825" t="inlineStr">
        <is>
          <t>P&amp;L</t>
        </is>
      </c>
      <c r="C825" t="inlineStr">
        <is>
          <t>$U$39</t>
        </is>
      </c>
      <c r="D825" t="inlineStr">
        <is>
          <t>output</t>
        </is>
      </c>
      <c r="E825" t="inlineStr">
        <is>
          <t>currency</t>
        </is>
      </c>
      <c r="F825">
        <f>out_t12_util_general</f>
        <v/>
      </c>
      <c r="G825" t="inlineStr">
        <is>
          <t>adjusted T12: Utilities - General</t>
        </is>
      </c>
      <c r="H825" s="95" t="inlineStr">
        <is>
          <t>'=IF($U$6="T9",IF(COUNT(D39:O39)&gt;0,Q39,P39),IF($U$6="T6",IF(COUNT(D39:O39)&gt;0,R39,P39),IF($U$6="T3",IF(COUNT(D39:O39)&gt;0,S39,P39),P39)))+T39</t>
        </is>
      </c>
    </row>
    <row r="826">
      <c r="A826" s="97" t="inlineStr">
        <is>
          <t>out_t12_util_trash</t>
        </is>
      </c>
      <c r="B826" t="inlineStr">
        <is>
          <t>P&amp;L</t>
        </is>
      </c>
      <c r="C826" t="inlineStr">
        <is>
          <t>$U$43</t>
        </is>
      </c>
      <c r="D826" t="inlineStr">
        <is>
          <t>output</t>
        </is>
      </c>
      <c r="E826" t="inlineStr">
        <is>
          <t>currency</t>
        </is>
      </c>
      <c r="F826">
        <f>out_t12_util_trash</f>
        <v/>
      </c>
      <c r="G826" t="inlineStr">
        <is>
          <t>adjusted T12: Utilities - Trash</t>
        </is>
      </c>
      <c r="H826" s="95" t="inlineStr">
        <is>
          <t>'=IF($U$6="T9",IF(COUNT(D43:O43)&gt;0,Q43,P43),IF($U$6="T6",IF(COUNT(D43:O43)&gt;0,R43,P43),IF($U$6="T3",IF(COUNT(D43:O43)&gt;0,S43,P43),P43)))+T43</t>
        </is>
      </c>
    </row>
    <row r="827">
      <c r="A827" s="97" t="inlineStr">
        <is>
          <t>out_t12_util_water</t>
        </is>
      </c>
      <c r="B827" t="inlineStr">
        <is>
          <t>P&amp;L</t>
        </is>
      </c>
      <c r="C827" t="inlineStr">
        <is>
          <t>$U$41</t>
        </is>
      </c>
      <c r="D827" t="inlineStr">
        <is>
          <t>output</t>
        </is>
      </c>
      <c r="E827" t="inlineStr">
        <is>
          <t>currency</t>
        </is>
      </c>
      <c r="F827">
        <f>out_t12_util_water</f>
        <v/>
      </c>
      <c r="G827" t="inlineStr">
        <is>
          <t>adjusted T12: Utilities - Water/Sewer</t>
        </is>
      </c>
      <c r="H827" s="95" t="inlineStr">
        <is>
          <t>'=IF($U$6="T9",IF(COUNT(D41:O41)&gt;0,Q41,P41),IF($U$6="T6",IF(COUNT(D41:O41)&gt;0,R41,P41),IF($U$6="T3",IF(COUNT(D41:O41)&gt;0,S41,P41),P41)))+T41</t>
        </is>
      </c>
    </row>
    <row r="828">
      <c r="A828" s="97" t="inlineStr">
        <is>
          <t>out_t12_utilities</t>
        </is>
      </c>
      <c r="B828" t="inlineStr">
        <is>
          <t>P&amp;L</t>
        </is>
      </c>
      <c r="C828" t="inlineStr">
        <is>
          <t>$U$38</t>
        </is>
      </c>
      <c r="D828" t="inlineStr">
        <is>
          <t>output</t>
        </is>
      </c>
      <c r="E828" t="inlineStr">
        <is>
          <t>currency</t>
        </is>
      </c>
      <c r="F828">
        <f>out_t12_utilities</f>
        <v/>
      </c>
      <c r="G828" t="inlineStr">
        <is>
          <t>adjusted T12: Utilities</t>
        </is>
      </c>
      <c r="H828" s="95" t="inlineStr">
        <is>
          <t>'=IF($U$6="T9",IF(COUNT(D38:O38)&gt;0,Q38,P38),IF($U$6="T6",IF(COUNT(D38:O38)&gt;0,R38,P38),IF($U$6="T3",IF(COUNT(D38:O38)&gt;0,S38,P38),P38)))+T38</t>
        </is>
      </c>
    </row>
    <row r="829">
      <c r="A829" s="97" t="inlineStr">
        <is>
          <t>out_t12_vacancy</t>
        </is>
      </c>
      <c r="B829" t="inlineStr">
        <is>
          <t>P&amp;L</t>
        </is>
      </c>
      <c r="C829" t="inlineStr">
        <is>
          <t>$U$10</t>
        </is>
      </c>
      <c r="D829" t="inlineStr">
        <is>
          <t>output</t>
        </is>
      </c>
      <c r="E829" t="inlineStr">
        <is>
          <t>currency</t>
        </is>
      </c>
      <c r="F829">
        <f>out_t12_vacancy</f>
        <v/>
      </c>
      <c r="G829" t="inlineStr">
        <is>
          <t>adjusted T12: Vacancy</t>
        </is>
      </c>
      <c r="H829" s="95" t="inlineStr">
        <is>
          <t>'=IF($U$6="T9",IF(COUNT(D10:O10)&gt;0,Q10,P10),IF($U$6="T6",IF(COUNT(D10:O10)&gt;0,R10,P10),IF($U$6="T3",IF(COUNT(D10:O10)&gt;0,S10,P10),P10)))+T10</t>
        </is>
      </c>
    </row>
    <row r="830">
      <c r="A830" s="97" t="inlineStr">
        <is>
          <t>out_tax_year1_preview</t>
        </is>
      </c>
      <c r="B830" t="inlineStr">
        <is>
          <t>Summary &amp; Assumptions</t>
        </is>
      </c>
      <c r="C830" t="inlineStr">
        <is>
          <t>$D$56</t>
        </is>
      </c>
      <c r="D830" t="inlineStr">
        <is>
          <t>output</t>
        </is>
      </c>
      <c r="E830" t="inlineStr">
        <is>
          <t>currency</t>
        </is>
      </c>
      <c r="F830">
        <f>out_tax_year1_preview</f>
        <v/>
      </c>
      <c r="G830" t="inlineStr">
        <is>
          <t>Year-1 property tax (reassessed price x rate, or held at T12)</t>
        </is>
      </c>
      <c r="H830" s="95" t="inlineStr">
        <is>
          <t>'=IF('P&amp;L'!$Z$31&lt;=0,'P&amp;L'!$Z$31,IF('Summary &amp; Assumptions'!$C$53="Reassess at Purchase (State Rule)",'Summary &amp; Assumptions'!$H$6*'Summary &amp; Assumptions'!$H$53,'P&amp;L'!$Z$31))</t>
        </is>
      </c>
    </row>
    <row r="831">
      <c r="A831" s="97" t="inlineStr">
        <is>
          <t>out_tie_check</t>
        </is>
      </c>
      <c r="B831" t="inlineStr">
        <is>
          <t>CashFlow</t>
        </is>
      </c>
      <c r="C831" t="inlineStr">
        <is>
          <t>$D$64</t>
        </is>
      </c>
      <c r="D831" t="inlineStr">
        <is>
          <t>output</t>
        </is>
      </c>
      <c r="E831" t="inlineStr">
        <is>
          <t>currency</t>
        </is>
      </c>
      <c r="F831">
        <f>out_tie_check</f>
        <v/>
      </c>
      <c r="G831" t="inlineStr">
        <is>
          <t>one engine — the annual view IS the model; always 0</t>
        </is>
      </c>
      <c r="H831" s="95" t="inlineStr">
        <is>
          <t>'=0</t>
        </is>
      </c>
    </row>
    <row r="832">
      <c r="A832" s="97" t="inlineStr">
        <is>
          <t>out_total_profit</t>
        </is>
      </c>
      <c r="B832" t="inlineStr">
        <is>
          <t>CashFlow</t>
        </is>
      </c>
      <c r="C832" t="inlineStr">
        <is>
          <t>$D$65</t>
        </is>
      </c>
      <c r="D832" t="inlineStr">
        <is>
          <t>output</t>
        </is>
      </c>
      <c r="E832" t="inlineStr">
        <is>
          <t>currency</t>
        </is>
      </c>
      <c r="F832">
        <f>out_total_profit</f>
        <v/>
      </c>
      <c r="G832" t="inlineStr">
        <is>
          <t>total levered profit over hold (incl. Year 0 equity)</t>
        </is>
      </c>
      <c r="H832" s="95" t="inlineStr">
        <is>
          <t>'=SUM(E40:T40)</t>
        </is>
      </c>
    </row>
    <row r="833">
      <c r="A833" s="97" t="inlineStr">
        <is>
          <t>out_um_avg_inplace_rent</t>
        </is>
      </c>
      <c r="B833" t="inlineStr">
        <is>
          <t>UnitMix</t>
        </is>
      </c>
      <c r="C833" t="inlineStr">
        <is>
          <t>$H$31</t>
        </is>
      </c>
      <c r="D833" t="inlineStr">
        <is>
          <t>output</t>
        </is>
      </c>
      <c r="E833" t="inlineStr">
        <is>
          <t>currency</t>
        </is>
      </c>
      <c r="F833">
        <f>out_um_avg_inplace_rent</f>
        <v/>
      </c>
      <c r="G833" t="inlineStr"/>
      <c r="H833" s="95" t="inlineStr">
        <is>
          <t>'=IFERROR(SUMPRODUCT(H6:H30,F6:F30)/F31,0)</t>
        </is>
      </c>
    </row>
    <row r="834">
      <c r="A834" s="97" t="inlineStr">
        <is>
          <t>out_um_avg_market_rent</t>
        </is>
      </c>
      <c r="B834" t="inlineStr">
        <is>
          <t>UnitMix</t>
        </is>
      </c>
      <c r="C834" t="inlineStr">
        <is>
          <t>$I$31</t>
        </is>
      </c>
      <c r="D834" t="inlineStr">
        <is>
          <t>output</t>
        </is>
      </c>
      <c r="E834" t="inlineStr">
        <is>
          <t>currency</t>
        </is>
      </c>
      <c r="F834">
        <f>out_um_avg_market_rent</f>
        <v/>
      </c>
      <c r="G834" t="inlineStr">
        <is>
          <t>weighted avg market rent</t>
        </is>
      </c>
      <c r="H834" s="95" t="inlineStr">
        <is>
          <t>'=IFERROR(SUMPRODUCT(I6:I30,F6:F30)/F31,0)</t>
        </is>
      </c>
    </row>
    <row r="835">
      <c r="A835" s="97" t="inlineStr">
        <is>
          <t>out_um_gpr_annual</t>
        </is>
      </c>
      <c r="B835" t="inlineStr">
        <is>
          <t>UnitMix</t>
        </is>
      </c>
      <c r="C835" t="inlineStr">
        <is>
          <t>$L$6:$L$30</t>
        </is>
      </c>
      <c r="D835" t="inlineStr">
        <is>
          <t>array_out</t>
        </is>
      </c>
      <c r="E835" t="inlineStr">
        <is>
          <t>currency</t>
        </is>
      </c>
      <c r="G835" t="inlineStr">
        <is>
          <t>GPR Annual (in-place)</t>
        </is>
      </c>
    </row>
    <row r="836">
      <c r="A836" s="97" t="inlineStr">
        <is>
          <t>out_um_gpr_inplace_annual</t>
        </is>
      </c>
      <c r="B836" t="inlineStr">
        <is>
          <t>UnitMix</t>
        </is>
      </c>
      <c r="C836" t="inlineStr">
        <is>
          <t>$L$31</t>
        </is>
      </c>
      <c r="D836" t="inlineStr">
        <is>
          <t>output</t>
        </is>
      </c>
      <c r="E836" t="inlineStr">
        <is>
          <t>currency</t>
        </is>
      </c>
      <c r="F836">
        <f>out_um_gpr_inplace_annual</f>
        <v/>
      </c>
      <c r="G836" t="inlineStr">
        <is>
          <t>annual gross potential rent at in-place rents</t>
        </is>
      </c>
      <c r="H836" s="95" t="inlineStr">
        <is>
          <t>'=SUM(L6:L30)</t>
        </is>
      </c>
    </row>
    <row r="837">
      <c r="A837" s="97" t="inlineStr">
        <is>
          <t>out_um_ltl</t>
        </is>
      </c>
      <c r="B837" t="inlineStr">
        <is>
          <t>UnitMix</t>
        </is>
      </c>
      <c r="C837" t="inlineStr">
        <is>
          <t>$J$6:$J$30</t>
        </is>
      </c>
      <c r="D837" t="inlineStr">
        <is>
          <t>array_out</t>
        </is>
      </c>
      <c r="E837" t="inlineStr">
        <is>
          <t>currency</t>
        </is>
      </c>
      <c r="G837" t="inlineStr">
        <is>
          <t>LTL /mo</t>
        </is>
      </c>
    </row>
    <row r="838">
      <c r="A838" s="97" t="inlineStr">
        <is>
          <t>out_um_rent_psf</t>
        </is>
      </c>
      <c r="B838" t="inlineStr">
        <is>
          <t>UnitMix</t>
        </is>
      </c>
      <c r="C838" t="inlineStr">
        <is>
          <t>$K$6:$K$30</t>
        </is>
      </c>
      <c r="D838" t="inlineStr">
        <is>
          <t>array_out</t>
        </is>
      </c>
      <c r="E838" t="inlineStr">
        <is>
          <t>float</t>
        </is>
      </c>
      <c r="G838" t="inlineStr">
        <is>
          <t>Rent $/SF</t>
        </is>
      </c>
    </row>
    <row r="839">
      <c r="A839" s="97" t="inlineStr">
        <is>
          <t>out_um_total_ltl_monthly</t>
        </is>
      </c>
      <c r="B839" t="inlineStr">
        <is>
          <t>UnitMix</t>
        </is>
      </c>
      <c r="C839" t="inlineStr">
        <is>
          <t>$J$31</t>
        </is>
      </c>
      <c r="D839" t="inlineStr">
        <is>
          <t>output</t>
        </is>
      </c>
      <c r="E839" t="inlineStr">
        <is>
          <t>currency</t>
        </is>
      </c>
      <c r="F839">
        <f>out_um_total_ltl_monthly</f>
        <v/>
      </c>
      <c r="G839" t="inlineStr">
        <is>
          <t>total loss-to-lease per month (occupied units only)</t>
        </is>
      </c>
      <c r="H839" s="95" t="inlineStr">
        <is>
          <t>'=SUMPRODUCT((F6:F30&gt;0)*(H6:H30&gt;0)*(I6:I30&gt;0)*(F6:F30&gt;G6:G30*(G6:G30&gt;0))*(I6:I30-H6:H30),F6:F30-G6:G30*(G6:G30&gt;0))</t>
        </is>
      </c>
    </row>
    <row r="840">
      <c r="A840" s="97" t="inlineStr">
        <is>
          <t>out_um_total_units</t>
        </is>
      </c>
      <c r="B840" t="inlineStr">
        <is>
          <t>UnitMix</t>
        </is>
      </c>
      <c r="C840" t="inlineStr">
        <is>
          <t>$F$31</t>
        </is>
      </c>
      <c r="D840" t="inlineStr">
        <is>
          <t>output</t>
        </is>
      </c>
      <c r="E840" t="inlineStr">
        <is>
          <t>int</t>
        </is>
      </c>
      <c r="F840">
        <f>out_um_total_units</f>
        <v/>
      </c>
      <c r="G840" t="inlineStr">
        <is>
          <t>total units in mix</t>
        </is>
      </c>
      <c r="H840" s="95" t="inlineStr">
        <is>
          <t>'=SUM(F6:F30)</t>
        </is>
      </c>
    </row>
    <row r="841">
      <c r="A841" s="97" t="inlineStr">
        <is>
          <t>out_unlev_emx</t>
        </is>
      </c>
      <c r="B841" t="inlineStr">
        <is>
          <t>Summary &amp; Assumptions</t>
        </is>
      </c>
      <c r="C841" t="inlineStr">
        <is>
          <t>$G$23</t>
        </is>
      </c>
      <c r="D841" t="inlineStr">
        <is>
          <t>output</t>
        </is>
      </c>
      <c r="E841" t="inlineStr">
        <is>
          <t>currency</t>
        </is>
      </c>
      <c r="F841">
        <f>out_unlev_emx</f>
        <v/>
      </c>
      <c r="G841" t="inlineStr"/>
      <c r="H841" s="95" t="inlineStr">
        <is>
          <t>'=IF(OR('Summary &amp; Assumptions'!$H$6&lt;=0,'P&amp;L'!$Z$69&lt;=0),0,IFERROR(SUMIF(CashFlow!$E$31:$T$31,"&gt;0")/-SUMIF(CashFlow!$E$31:$T$31,"&lt;0"),0))</t>
        </is>
      </c>
    </row>
    <row r="842">
      <c r="A842" s="97" t="inlineStr">
        <is>
          <t>out_unlev_irr</t>
        </is>
      </c>
      <c r="B842" t="inlineStr">
        <is>
          <t>CashFlow</t>
        </is>
      </c>
      <c r="C842" t="inlineStr">
        <is>
          <t>$D$32</t>
        </is>
      </c>
      <c r="D842" t="inlineStr">
        <is>
          <t>output</t>
        </is>
      </c>
      <c r="E842" t="inlineStr">
        <is>
          <t>pct</t>
        </is>
      </c>
      <c r="F842">
        <f>out_unlev_irr</f>
        <v/>
      </c>
      <c r="G842" t="inlineStr">
        <is>
          <t>unlevered project IRR (annual)</t>
        </is>
      </c>
      <c r="H842" s="95" t="inlineStr">
        <is>
          <t>'=IF(OR('Summary &amp; Assumptions'!$H$6&lt;=0,'P&amp;L'!$Z$69&lt;=0),0,IFERROR(IRR(E31:T31),0))</t>
        </is>
      </c>
    </row>
    <row r="843">
      <c r="A843" s="97" t="inlineStr">
        <is>
          <t>out_unlev_irr_m</t>
        </is>
      </c>
      <c r="B843" t="inlineStr">
        <is>
          <t>CashFlow</t>
        </is>
      </c>
      <c r="C843" t="inlineStr">
        <is>
          <t>$D$32</t>
        </is>
      </c>
      <c r="D843" t="inlineStr">
        <is>
          <t>output</t>
        </is>
      </c>
      <c r="E843" t="inlineStr">
        <is>
          <t>pct</t>
        </is>
      </c>
      <c r="F843">
        <f>out_unlev_irr_m</f>
        <v/>
      </c>
      <c r="G843" t="inlineStr">
        <is>
          <t>alias of out_unlev_irr (annual model)</t>
        </is>
      </c>
      <c r="H843" s="95" t="inlineStr">
        <is>
          <t>'=IF(OR('Summary &amp; Assumptions'!$H$6&lt;=0,'P&amp;L'!$Z$69&lt;=0),0,IFERROR(IRR(E31:T31),0))</t>
        </is>
      </c>
    </row>
    <row r="844">
      <c r="A844" s="97" t="inlineStr">
        <is>
          <t>out_wf_lp_equity_pct</t>
        </is>
      </c>
      <c r="B844" t="inlineStr">
        <is>
          <t>Investor Waterfall</t>
        </is>
      </c>
      <c r="C844" t="inlineStr">
        <is>
          <t>$C$7</t>
        </is>
      </c>
      <c r="D844" t="inlineStr">
        <is>
          <t>output</t>
        </is>
      </c>
      <c r="E844" t="inlineStr">
        <is>
          <t>pct</t>
        </is>
      </c>
      <c r="F844">
        <f>out_wf_lp_equity_pct</f>
        <v/>
      </c>
      <c r="G844" t="inlineStr">
        <is>
          <t>LP Equity Contribution %</t>
        </is>
      </c>
      <c r="H844" s="95" t="inlineStr">
        <is>
          <t>'=1-'Investor Waterfall'!$C$6</t>
        </is>
      </c>
    </row>
    <row r="845">
      <c r="A845" s="97" t="inlineStr">
        <is>
          <t>out_yoc_trended</t>
        </is>
      </c>
      <c r="B845" t="inlineStr">
        <is>
          <t>CashFlow</t>
        </is>
      </c>
      <c r="C845" t="inlineStr">
        <is>
          <t>$D$52</t>
        </is>
      </c>
      <c r="D845" t="inlineStr">
        <is>
          <t>output</t>
        </is>
      </c>
      <c r="E845" t="inlineStr">
        <is>
          <t>pct</t>
        </is>
      </c>
      <c r="F845">
        <f>out_yoc_trended</f>
        <v/>
      </c>
      <c r="G845" t="inlineStr">
        <is>
          <t>trended yield-on-cost: exit-year NOI / total uses</t>
        </is>
      </c>
      <c r="H845" s="95" t="inlineStr">
        <is>
          <t>'=IFERROR(INDEX($F$23:$T$23,1,MAX(1,MIN('Summary &amp; Assumptions'!$C$23,15)))/'Summary &amp; Assumptions'!$H$71,0)</t>
        </is>
      </c>
    </row>
    <row r="846">
      <c r="A846" s="97" t="inlineStr">
        <is>
          <t>out_yoc_untrended</t>
        </is>
      </c>
      <c r="B846" t="inlineStr">
        <is>
          <t>CashFlow</t>
        </is>
      </c>
      <c r="C846" t="inlineStr">
        <is>
          <t>$D$51</t>
        </is>
      </c>
      <c r="D846" t="inlineStr">
        <is>
          <t>output</t>
        </is>
      </c>
      <c r="E846" t="inlineStr">
        <is>
          <t>pct</t>
        </is>
      </c>
      <c r="F846">
        <f>out_yoc_untrended</f>
        <v/>
      </c>
      <c r="G846" t="inlineStr">
        <is>
          <t>untrended yield-on-cost: Year-1 NOI / total uses</t>
        </is>
      </c>
      <c r="H846" s="95" t="inlineStr">
        <is>
          <t>'=IFERROR($F$23/'Summary &amp; Assumptions'!$H$71,0)</t>
        </is>
      </c>
    </row>
    <row r="847">
      <c r="A847" s="98" t="inlineStr">
        <is>
          <t>tbl_state_tax</t>
        </is>
      </c>
      <c r="B847" t="inlineStr">
        <is>
          <t>State Tax Rates</t>
        </is>
      </c>
      <c r="C847" t="inlineStr">
        <is>
          <t>$B$7:$G$57</t>
        </is>
      </c>
      <c r="D847" t="inlineStr">
        <is>
          <t>array_in</t>
        </is>
      </c>
      <c r="E847" t="inlineStr">
        <is>
          <t>text</t>
        </is>
      </c>
      <c r="G847" t="inlineStr">
        <is>
          <t>state property-tax reassessment rules</t>
        </is>
      </c>
    </row>
  </sheetData>
  <autoFilter ref="A2:H847"/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tabColor rgb="0026251E"/>
    <outlinePr summaryBelow="1" summaryRight="1"/>
    <pageSetUpPr/>
  </sheetPr>
  <dimension ref="A1:Q41"/>
  <sheetViews>
    <sheetView showGridLines="0" workbookViewId="0">
      <selection activeCell="A1" sqref="A1"/>
    </sheetView>
  </sheetViews>
  <sheetFormatPr baseColWidth="8" defaultRowHeight="15"/>
  <sheetData>
    <row r="1">
      <c r="A1" s="95" t="inlineStr">
        <is>
          <t>Validation lists + state tax rules (machine tab)</t>
        </is>
      </c>
    </row>
    <row r="2">
      <c r="A2" s="96" t="inlineStr">
        <is>
          <t>lst_yn</t>
        </is>
      </c>
      <c r="B2" s="96" t="inlineStr">
        <is>
          <t>lst_rate_type</t>
        </is>
      </c>
      <c r="C2" s="96" t="inlineStr">
        <is>
          <t>lst_index</t>
        </is>
      </c>
      <c r="D2" s="96" t="inlineStr">
        <is>
          <t>lst_loan_sizing</t>
        </is>
      </c>
      <c r="E2" s="96" t="inlineStr">
        <is>
          <t>lst_loan_type</t>
        </is>
      </c>
      <c r="F2" s="96" t="inlineStr">
        <is>
          <t>lst_calc_type</t>
        </is>
      </c>
      <c r="G2" s="96" t="inlineStr">
        <is>
          <t>lst_am_fee_basis</t>
        </is>
      </c>
      <c r="H2" s="96" t="inlineStr">
        <is>
          <t>lst_wf_mode</t>
        </is>
      </c>
      <c r="I2" s="96" t="inlineStr">
        <is>
          <t>lst_pref_type</t>
        </is>
      </c>
      <c r="J2" s="96" t="inlineStr">
        <is>
          <t>lst_exit_basis</t>
        </is>
      </c>
      <c r="K2" s="96" t="inlineStr">
        <is>
          <t>lst_tax_method</t>
        </is>
      </c>
      <c r="L2" s="96" t="inlineStr">
        <is>
          <t>lst_t12_basis</t>
        </is>
      </c>
      <c r="M2" s="96" t="inlineStr">
        <is>
          <t>lst_growth_basis</t>
        </is>
      </c>
      <c r="N2" s="96" t="inlineStr">
        <is>
          <t>lst_apply_proceeds</t>
        </is>
      </c>
      <c r="O2" s="96" t="inlineStr">
        <is>
          <t>lst_occ_status</t>
        </is>
      </c>
      <c r="P2" s="96" t="inlineStr">
        <is>
          <t>lst_expense_map</t>
        </is>
      </c>
      <c r="Q2" s="96" t="inlineStr">
        <is>
          <t>lst_slung_map</t>
        </is>
      </c>
    </row>
    <row r="3">
      <c r="A3" t="inlineStr">
        <is>
          <t>Yes</t>
        </is>
      </c>
      <c r="B3" t="inlineStr">
        <is>
          <t>Fixed</t>
        </is>
      </c>
      <c r="C3" t="inlineStr">
        <is>
          <t>SOFR</t>
        </is>
      </c>
      <c r="D3" t="inlineStr">
        <is>
          <t>Loan Amount</t>
        </is>
      </c>
      <c r="E3" t="inlineStr">
        <is>
          <t>Amortizing</t>
        </is>
      </c>
      <c r="F3" t="inlineStr">
        <is>
          <t>Total $</t>
        </is>
      </c>
      <c r="G3" t="inlineStr">
        <is>
          <t>% of NOI</t>
        </is>
      </c>
      <c r="H3" t="inlineStr">
        <is>
          <t>Tiered Promote</t>
        </is>
      </c>
      <c r="I3" t="inlineStr">
        <is>
          <t>Compounding</t>
        </is>
      </c>
      <c r="J3" t="inlineStr">
        <is>
          <t>Forward NOI</t>
        </is>
      </c>
      <c r="K3" t="inlineStr">
        <is>
          <t>Hold T12 + Growth</t>
        </is>
      </c>
      <c r="L3" t="inlineStr">
        <is>
          <t>T12</t>
        </is>
      </c>
      <c r="M3" t="inlineStr">
        <is>
          <t>% Growth</t>
        </is>
      </c>
      <c r="N3" t="inlineStr">
        <is>
          <t>Distribute</t>
        </is>
      </c>
      <c r="O3" t="inlineStr">
        <is>
          <t>Occupied</t>
        </is>
      </c>
      <c r="P3" t="inlineStr">
        <is>
          <t>Real Estate Taxes</t>
        </is>
      </c>
      <c r="Q3" t="inlineStr">
        <is>
          <t>Residential Income (GPR)</t>
        </is>
      </c>
    </row>
    <row r="4">
      <c r="A4" t="inlineStr">
        <is>
          <t>No</t>
        </is>
      </c>
      <c r="B4" t="inlineStr">
        <is>
          <t>Floating</t>
        </is>
      </c>
      <c r="C4" t="inlineStr">
        <is>
          <t>5yr UST</t>
        </is>
      </c>
      <c r="D4" t="inlineStr">
        <is>
          <t>LTV</t>
        </is>
      </c>
      <c r="E4" t="inlineStr">
        <is>
          <t>Interest Only</t>
        </is>
      </c>
      <c r="F4" t="inlineStr">
        <is>
          <t>/ unit</t>
        </is>
      </c>
      <c r="G4" t="inlineStr">
        <is>
          <t>% of Cost Basis</t>
        </is>
      </c>
      <c r="H4" t="inlineStr">
        <is>
          <t>Pari Passu after Pref</t>
        </is>
      </c>
      <c r="I4" t="inlineStr">
        <is>
          <t>Simple</t>
        </is>
      </c>
      <c r="J4" t="inlineStr">
        <is>
          <t>Trailing NOI</t>
        </is>
      </c>
      <c r="K4" t="inlineStr">
        <is>
          <t>Reassess at Purchase (State Rule)</t>
        </is>
      </c>
      <c r="L4" t="inlineStr">
        <is>
          <t>T9</t>
        </is>
      </c>
      <c r="M4" t="inlineStr">
        <is>
          <t>Custom by Year</t>
        </is>
      </c>
      <c r="N4" t="inlineStr">
        <is>
          <t>Pay Down Senior</t>
        </is>
      </c>
      <c r="O4" t="inlineStr">
        <is>
          <t>Vacant</t>
        </is>
      </c>
      <c r="P4" t="inlineStr">
        <is>
          <t>Insurance</t>
        </is>
      </c>
      <c r="Q4" t="inlineStr">
        <is>
          <t>Loss to Lease</t>
        </is>
      </c>
    </row>
    <row r="5">
      <c r="C5" t="inlineStr">
        <is>
          <t>10yr UST</t>
        </is>
      </c>
      <c r="D5" t="inlineStr">
        <is>
          <t>DSCR</t>
        </is>
      </c>
      <c r="E5" t="inlineStr">
        <is>
          <t>IO then Amortizing</t>
        </is>
      </c>
      <c r="F5" t="inlineStr">
        <is>
          <t>% of EGR</t>
        </is>
      </c>
      <c r="G5" t="inlineStr">
        <is>
          <t>% of Invested Equity</t>
        </is>
      </c>
      <c r="K5" t="inlineStr">
        <is>
          <t>Custom</t>
        </is>
      </c>
      <c r="L5" t="inlineStr">
        <is>
          <t>T6</t>
        </is>
      </c>
      <c r="N5" t="inlineStr">
        <is>
          <t>Hold in Reserve</t>
        </is>
      </c>
      <c r="O5" t="inlineStr">
        <is>
          <t>Non-Revenue</t>
        </is>
      </c>
      <c r="P5" t="inlineStr">
        <is>
          <t>Salaries</t>
        </is>
      </c>
      <c r="Q5" t="inlineStr">
        <is>
          <t>Vacancy</t>
        </is>
      </c>
    </row>
    <row r="6">
      <c r="C6" t="inlineStr">
        <is>
          <t>Custom</t>
        </is>
      </c>
      <c r="F6" t="inlineStr">
        <is>
          <t>/ SF</t>
        </is>
      </c>
      <c r="G6" t="inlineStr">
        <is>
          <t>Fixed $</t>
        </is>
      </c>
      <c r="L6" t="inlineStr">
        <is>
          <t>T3</t>
        </is>
      </c>
      <c r="P6" t="inlineStr">
        <is>
          <t>Repairs and Maintenance</t>
        </is>
      </c>
      <c r="Q6" t="inlineStr">
        <is>
          <t>Non-Revenue Units</t>
        </is>
      </c>
    </row>
    <row r="7">
      <c r="F7" t="inlineStr">
        <is>
          <t>% of historicals</t>
        </is>
      </c>
      <c r="P7" t="inlineStr">
        <is>
          <t>Utilities</t>
        </is>
      </c>
      <c r="Q7" t="inlineStr">
        <is>
          <t>Concessions</t>
        </is>
      </c>
    </row>
    <row r="8">
      <c r="F8" t="inlineStr">
        <is>
          <t>$ / occ. unit</t>
        </is>
      </c>
      <c r="P8" t="inlineStr">
        <is>
          <t>Marketing/Advertising</t>
        </is>
      </c>
      <c r="Q8" t="inlineStr">
        <is>
          <t>Bad Debt/Collection Loss</t>
        </is>
      </c>
    </row>
    <row r="9">
      <c r="P9" t="inlineStr">
        <is>
          <t>Administrative</t>
        </is>
      </c>
      <c r="Q9" t="inlineStr">
        <is>
          <t>Reimbursements (RUBS)</t>
        </is>
      </c>
    </row>
    <row r="10">
      <c r="P10" t="inlineStr">
        <is>
          <t>Property Management</t>
        </is>
      </c>
      <c r="Q10" t="inlineStr">
        <is>
          <t>Reimbursements (RUBS) - General</t>
        </is>
      </c>
    </row>
    <row r="11">
      <c r="P11" t="inlineStr">
        <is>
          <t>Other / Unmapped</t>
        </is>
      </c>
      <c r="Q11" t="inlineStr">
        <is>
          <t>Reimbursements (RUBS) - Electric</t>
        </is>
      </c>
    </row>
    <row r="12">
      <c r="Q12" t="inlineStr">
        <is>
          <t>Reimbursements (RUBS) - Water/Sewer</t>
        </is>
      </c>
    </row>
    <row r="13">
      <c r="Q13" t="inlineStr">
        <is>
          <t>Reimbursements (RUBS) - Gas</t>
        </is>
      </c>
    </row>
    <row r="14">
      <c r="Q14" t="inlineStr">
        <is>
          <t>Reimbursements (RUBS) - Trash</t>
        </is>
      </c>
    </row>
    <row r="15">
      <c r="Q15" t="inlineStr">
        <is>
          <t>Commercial Rent</t>
        </is>
      </c>
    </row>
    <row r="16">
      <c r="Q16" t="inlineStr">
        <is>
          <t>Other Income</t>
        </is>
      </c>
    </row>
    <row r="17">
      <c r="Q17" t="inlineStr">
        <is>
          <t>Other Income - General</t>
        </is>
      </c>
    </row>
    <row r="18">
      <c r="Q18" t="inlineStr">
        <is>
          <t>Other Income - Parking Income</t>
        </is>
      </c>
    </row>
    <row r="19">
      <c r="Q19" t="inlineStr">
        <is>
          <t>Other Income - Pet Rent/Fees</t>
        </is>
      </c>
    </row>
    <row r="20">
      <c r="Q20" t="inlineStr">
        <is>
          <t>Other Income - App/Admin/Late Fees</t>
        </is>
      </c>
    </row>
    <row r="21">
      <c r="Q21" t="inlineStr">
        <is>
          <t>Other Income - Storage</t>
        </is>
      </c>
    </row>
    <row r="22">
      <c r="Q22" t="inlineStr">
        <is>
          <t>Other Income - Laundry/Vending</t>
        </is>
      </c>
    </row>
    <row r="23">
      <c r="Q23" t="inlineStr">
        <is>
          <t>Real Estate Taxes</t>
        </is>
      </c>
    </row>
    <row r="24">
      <c r="Q24" t="inlineStr">
        <is>
          <t>Insurance</t>
        </is>
      </c>
    </row>
    <row r="25">
      <c r="Q25" t="inlineStr">
        <is>
          <t>Salaries</t>
        </is>
      </c>
    </row>
    <row r="26">
      <c r="Q26" t="inlineStr">
        <is>
          <t>Repairs and Maintenance</t>
        </is>
      </c>
    </row>
    <row r="27">
      <c r="Q27" t="inlineStr">
        <is>
          <t>Repairs and Maintenance - General</t>
        </is>
      </c>
    </row>
    <row r="28">
      <c r="Q28" t="inlineStr">
        <is>
          <t>Repairs and Maintenance - Contract Services</t>
        </is>
      </c>
    </row>
    <row r="29">
      <c r="Q29" t="inlineStr">
        <is>
          <t>Repairs and Maintenance - Turnover</t>
        </is>
      </c>
    </row>
    <row r="30">
      <c r="Q30" t="inlineStr">
        <is>
          <t>Utilities</t>
        </is>
      </c>
    </row>
    <row r="31">
      <c r="Q31" t="inlineStr">
        <is>
          <t>Utilities - General</t>
        </is>
      </c>
    </row>
    <row r="32">
      <c r="Q32" t="inlineStr">
        <is>
          <t>Utilities - Electric</t>
        </is>
      </c>
    </row>
    <row r="33">
      <c r="Q33" t="inlineStr">
        <is>
          <t>Utilities - Water/Sewer</t>
        </is>
      </c>
    </row>
    <row r="34">
      <c r="Q34" t="inlineStr">
        <is>
          <t>Utilities - Gas</t>
        </is>
      </c>
    </row>
    <row r="35">
      <c r="Q35" t="inlineStr">
        <is>
          <t>Utilities - Trash</t>
        </is>
      </c>
    </row>
    <row r="36">
      <c r="Q36" t="inlineStr">
        <is>
          <t>Marketing/Advertising</t>
        </is>
      </c>
    </row>
    <row r="37">
      <c r="Q37" t="inlineStr">
        <is>
          <t>Administrative</t>
        </is>
      </c>
    </row>
    <row r="38">
      <c r="Q38" t="inlineStr">
        <is>
          <t>Property Management</t>
        </is>
      </c>
    </row>
    <row r="39">
      <c r="Q39" t="inlineStr">
        <is>
          <t>Other / Unmapped</t>
        </is>
      </c>
    </row>
    <row r="40">
      <c r="Q40" t="inlineStr">
        <is>
          <t>Exclude (Below the Line)</t>
        </is>
      </c>
    </row>
    <row r="41">
      <c r="Q41" t="inlineStr">
        <is>
          <t>Exclude (Total Line)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>
  <dc:creator>Slung</dc:creator>
  <dc:title>Slung multifamily underwriting template v53</dc:title>
</cp:coreProperties>
</file>